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LANILHAS DE LICITAÇÃO\Nova pasta\planilhas com composição\"/>
    </mc:Choice>
  </mc:AlternateContent>
  <bookViews>
    <workbookView xWindow="0" yWindow="0" windowWidth="16380" windowHeight="8196" tabRatio="500" activeTab="1"/>
  </bookViews>
  <sheets>
    <sheet name="LOTE_2" sheetId="1" r:id="rId1"/>
    <sheet name="Planilha1" sheetId="2" r:id="rId2"/>
  </sheets>
  <definedNames>
    <definedName name="__xlfn_BAHTTEXT">"""""""NA()"""""""</definedName>
    <definedName name="_xlnm.Print_Area" localSheetId="0">LOTE_2!$A$1:$H$161</definedName>
    <definedName name="Excel_BuiltIn__FilterDatabase" localSheetId="0">LOTE_2!$A$22:$G$22</definedName>
    <definedName name="Excel_BuiltIn_Print_Area" localSheetId="0">LOTE_2!$A$1:$G$344</definedName>
    <definedName name="Print_Area_0" localSheetId="0">LOTE_2!$A$1:$H$162</definedName>
    <definedName name="Print_Titles_0" localSheetId="0">LOTE_2!$1:$22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3" i="2" l="1"/>
  <c r="J52" i="2"/>
  <c r="J51" i="2"/>
  <c r="J50" i="2"/>
  <c r="I49" i="2" s="1"/>
  <c r="J49" i="2" s="1"/>
  <c r="J46" i="2"/>
  <c r="J45" i="2"/>
  <c r="J44" i="2"/>
  <c r="I41" i="2" s="1"/>
  <c r="J41" i="2" s="1"/>
  <c r="J43" i="2"/>
  <c r="J42" i="2"/>
  <c r="J38" i="2"/>
  <c r="J37" i="2"/>
  <c r="I36" i="2"/>
  <c r="J36" i="2" s="1"/>
  <c r="J33" i="2"/>
  <c r="J32" i="2"/>
  <c r="I31" i="2"/>
  <c r="J31" i="2" s="1"/>
  <c r="J28" i="2"/>
  <c r="J27" i="2"/>
  <c r="I25" i="2"/>
  <c r="J25" i="2" s="1"/>
  <c r="J22" i="2"/>
  <c r="I21" i="2"/>
  <c r="J21" i="2" s="1"/>
  <c r="J17" i="2"/>
  <c r="J16" i="2"/>
  <c r="J13" i="2"/>
  <c r="J12" i="2"/>
  <c r="J9" i="2"/>
  <c r="I8" i="2" s="1"/>
  <c r="J8" i="2" s="1"/>
  <c r="E159" i="1"/>
  <c r="G159" i="1" s="1"/>
  <c r="G157" i="1"/>
  <c r="H157" i="1" s="1"/>
  <c r="H156" i="1"/>
  <c r="G156" i="1"/>
  <c r="G155" i="1"/>
  <c r="H155" i="1" s="1"/>
  <c r="G154" i="1"/>
  <c r="H154" i="1" s="1"/>
  <c r="G153" i="1"/>
  <c r="H153" i="1" s="1"/>
  <c r="H152" i="1"/>
  <c r="G152" i="1"/>
  <c r="G151" i="1"/>
  <c r="H151" i="1" s="1"/>
  <c r="G150" i="1"/>
  <c r="H150" i="1" s="1"/>
  <c r="H148" i="1"/>
  <c r="G148" i="1"/>
  <c r="G147" i="1"/>
  <c r="H147" i="1" s="1"/>
  <c r="G146" i="1"/>
  <c r="H146" i="1" s="1"/>
  <c r="G145" i="1"/>
  <c r="G144" i="1" s="1"/>
  <c r="H144" i="1" s="1"/>
  <c r="G143" i="1"/>
  <c r="H143" i="1" s="1"/>
  <c r="G142" i="1"/>
  <c r="H142" i="1" s="1"/>
  <c r="G141" i="1"/>
  <c r="H141" i="1" s="1"/>
  <c r="H140" i="1"/>
  <c r="G140" i="1"/>
  <c r="G139" i="1"/>
  <c r="H139" i="1" s="1"/>
  <c r="G137" i="1"/>
  <c r="H137" i="1" s="1"/>
  <c r="H136" i="1"/>
  <c r="G136" i="1"/>
  <c r="G135" i="1"/>
  <c r="H135" i="1" s="1"/>
  <c r="G134" i="1"/>
  <c r="H134" i="1" s="1"/>
  <c r="G133" i="1"/>
  <c r="H133" i="1" s="1"/>
  <c r="H132" i="1"/>
  <c r="G132" i="1"/>
  <c r="G131" i="1"/>
  <c r="H131" i="1" s="1"/>
  <c r="G130" i="1"/>
  <c r="H130" i="1" s="1"/>
  <c r="G129" i="1"/>
  <c r="H129" i="1" s="1"/>
  <c r="H128" i="1"/>
  <c r="G128" i="1"/>
  <c r="G127" i="1"/>
  <c r="H127" i="1" s="1"/>
  <c r="G126" i="1"/>
  <c r="H126" i="1" s="1"/>
  <c r="G125" i="1"/>
  <c r="H125" i="1" s="1"/>
  <c r="H124" i="1"/>
  <c r="G124" i="1"/>
  <c r="G123" i="1"/>
  <c r="H123" i="1" s="1"/>
  <c r="G122" i="1"/>
  <c r="H122" i="1" s="1"/>
  <c r="G121" i="1"/>
  <c r="H121" i="1" s="1"/>
  <c r="H120" i="1"/>
  <c r="G120" i="1"/>
  <c r="G119" i="1"/>
  <c r="H119" i="1" s="1"/>
  <c r="G118" i="1"/>
  <c r="H118" i="1" s="1"/>
  <c r="E117" i="1"/>
  <c r="G117" i="1" s="1"/>
  <c r="H117" i="1" s="1"/>
  <c r="E116" i="1"/>
  <c r="G116" i="1" s="1"/>
  <c r="H116" i="1" s="1"/>
  <c r="E115" i="1"/>
  <c r="G115" i="1" s="1"/>
  <c r="G113" i="1"/>
  <c r="H113" i="1" s="1"/>
  <c r="H112" i="1"/>
  <c r="G112" i="1"/>
  <c r="E109" i="1"/>
  <c r="G109" i="1" s="1"/>
  <c r="H109" i="1" s="1"/>
  <c r="E108" i="1"/>
  <c r="G108" i="1" s="1"/>
  <c r="E105" i="1"/>
  <c r="G105" i="1" s="1"/>
  <c r="H105" i="1" s="1"/>
  <c r="E104" i="1"/>
  <c r="G104" i="1" s="1"/>
  <c r="H104" i="1" s="1"/>
  <c r="E103" i="1"/>
  <c r="G103" i="1" s="1"/>
  <c r="H103" i="1" s="1"/>
  <c r="G102" i="1"/>
  <c r="H102" i="1" s="1"/>
  <c r="E101" i="1"/>
  <c r="G101" i="1" s="1"/>
  <c r="H101" i="1" s="1"/>
  <c r="E100" i="1"/>
  <c r="G100" i="1" s="1"/>
  <c r="H100" i="1" s="1"/>
  <c r="E99" i="1"/>
  <c r="G99" i="1" s="1"/>
  <c r="H99" i="1" s="1"/>
  <c r="G98" i="1"/>
  <c r="H98" i="1" s="1"/>
  <c r="E98" i="1"/>
  <c r="G97" i="1"/>
  <c r="H97" i="1" s="1"/>
  <c r="E97" i="1"/>
  <c r="E96" i="1"/>
  <c r="G96" i="1" s="1"/>
  <c r="H96" i="1" s="1"/>
  <c r="E95" i="1"/>
  <c r="G95" i="1" s="1"/>
  <c r="H95" i="1" s="1"/>
  <c r="E94" i="1"/>
  <c r="G94" i="1" s="1"/>
  <c r="H94" i="1" s="1"/>
  <c r="E93" i="1"/>
  <c r="G93" i="1" s="1"/>
  <c r="H93" i="1" s="1"/>
  <c r="E92" i="1"/>
  <c r="G92" i="1" s="1"/>
  <c r="H92" i="1" s="1"/>
  <c r="E91" i="1"/>
  <c r="G91" i="1" s="1"/>
  <c r="H91" i="1" s="1"/>
  <c r="G90" i="1"/>
  <c r="H90" i="1" s="1"/>
  <c r="E90" i="1"/>
  <c r="G89" i="1"/>
  <c r="H89" i="1" s="1"/>
  <c r="E89" i="1"/>
  <c r="E88" i="1"/>
  <c r="G88" i="1" s="1"/>
  <c r="H88" i="1" s="1"/>
  <c r="E87" i="1"/>
  <c r="G87" i="1" s="1"/>
  <c r="H87" i="1" s="1"/>
  <c r="E86" i="1"/>
  <c r="G86" i="1" s="1"/>
  <c r="H86" i="1" s="1"/>
  <c r="E85" i="1"/>
  <c r="G85" i="1" s="1"/>
  <c r="H85" i="1" s="1"/>
  <c r="E84" i="1"/>
  <c r="G84" i="1" s="1"/>
  <c r="H84" i="1" s="1"/>
  <c r="E83" i="1"/>
  <c r="G83" i="1" s="1"/>
  <c r="H83" i="1" s="1"/>
  <c r="G82" i="1"/>
  <c r="H82" i="1" s="1"/>
  <c r="E82" i="1"/>
  <c r="G81" i="1"/>
  <c r="H81" i="1" s="1"/>
  <c r="E81" i="1"/>
  <c r="E80" i="1"/>
  <c r="G80" i="1" s="1"/>
  <c r="E77" i="1"/>
  <c r="G77" i="1" s="1"/>
  <c r="H77" i="1" s="1"/>
  <c r="G76" i="1"/>
  <c r="H76" i="1" s="1"/>
  <c r="E76" i="1"/>
  <c r="G75" i="1"/>
  <c r="H75" i="1" s="1"/>
  <c r="E75" i="1"/>
  <c r="G73" i="1"/>
  <c r="H73" i="1" s="1"/>
  <c r="E73" i="1"/>
  <c r="G72" i="1"/>
  <c r="H72" i="1" s="1"/>
  <c r="E72" i="1"/>
  <c r="E71" i="1"/>
  <c r="G71" i="1" s="1"/>
  <c r="H71" i="1" s="1"/>
  <c r="E70" i="1"/>
  <c r="G70" i="1" s="1"/>
  <c r="H70" i="1" s="1"/>
  <c r="E69" i="1"/>
  <c r="G69" i="1" s="1"/>
  <c r="H69" i="1" s="1"/>
  <c r="E68" i="1"/>
  <c r="G68" i="1" s="1"/>
  <c r="H68" i="1" s="1"/>
  <c r="E67" i="1"/>
  <c r="G67" i="1" s="1"/>
  <c r="H67" i="1" s="1"/>
  <c r="E66" i="1"/>
  <c r="G66" i="1" s="1"/>
  <c r="H63" i="1"/>
  <c r="G63" i="1"/>
  <c r="G62" i="1"/>
  <c r="H62" i="1" s="1"/>
  <c r="G61" i="1"/>
  <c r="H61" i="1" s="1"/>
  <c r="E61" i="1"/>
  <c r="G60" i="1"/>
  <c r="H60" i="1" s="1"/>
  <c r="E60" i="1"/>
  <c r="E59" i="1"/>
  <c r="G59" i="1" s="1"/>
  <c r="H59" i="1" s="1"/>
  <c r="E58" i="1"/>
  <c r="G58" i="1" s="1"/>
  <c r="H58" i="1" s="1"/>
  <c r="E57" i="1"/>
  <c r="G57" i="1" s="1"/>
  <c r="H57" i="1" s="1"/>
  <c r="E56" i="1"/>
  <c r="G56" i="1" s="1"/>
  <c r="E53" i="1"/>
  <c r="G53" i="1" s="1"/>
  <c r="H53" i="1" s="1"/>
  <c r="E52" i="1"/>
  <c r="G52" i="1" s="1"/>
  <c r="H52" i="1" s="1"/>
  <c r="E51" i="1"/>
  <c r="G51" i="1" s="1"/>
  <c r="H51" i="1" s="1"/>
  <c r="E50" i="1"/>
  <c r="G50" i="1" s="1"/>
  <c r="H50" i="1" s="1"/>
  <c r="E49" i="1"/>
  <c r="G49" i="1" s="1"/>
  <c r="H49" i="1" s="1"/>
  <c r="E48" i="1"/>
  <c r="G48" i="1" s="1"/>
  <c r="H48" i="1" s="1"/>
  <c r="G47" i="1"/>
  <c r="H47" i="1" s="1"/>
  <c r="E47" i="1"/>
  <c r="G46" i="1"/>
  <c r="H46" i="1" s="1"/>
  <c r="E46" i="1"/>
  <c r="E45" i="1"/>
  <c r="G45" i="1" s="1"/>
  <c r="H45" i="1" s="1"/>
  <c r="E44" i="1"/>
  <c r="G44" i="1" s="1"/>
  <c r="H44" i="1" s="1"/>
  <c r="E43" i="1"/>
  <c r="G43" i="1" s="1"/>
  <c r="H43" i="1" s="1"/>
  <c r="E42" i="1"/>
  <c r="G42" i="1" s="1"/>
  <c r="H42" i="1" s="1"/>
  <c r="E41" i="1"/>
  <c r="G41" i="1" s="1"/>
  <c r="H41" i="1" s="1"/>
  <c r="E40" i="1"/>
  <c r="G40" i="1" s="1"/>
  <c r="E38" i="1"/>
  <c r="G38" i="1" s="1"/>
  <c r="H38" i="1" s="1"/>
  <c r="E37" i="1"/>
  <c r="G37" i="1" s="1"/>
  <c r="H37" i="1" s="1"/>
  <c r="G36" i="1"/>
  <c r="H36" i="1" s="1"/>
  <c r="E36" i="1"/>
  <c r="G35" i="1"/>
  <c r="H35" i="1" s="1"/>
  <c r="E35" i="1"/>
  <c r="E34" i="1"/>
  <c r="G34" i="1" s="1"/>
  <c r="H34" i="1" s="1"/>
  <c r="E33" i="1"/>
  <c r="G33" i="1" s="1"/>
  <c r="H33" i="1" s="1"/>
  <c r="E32" i="1"/>
  <c r="G32" i="1" s="1"/>
  <c r="H32" i="1" s="1"/>
  <c r="E31" i="1"/>
  <c r="G31" i="1" s="1"/>
  <c r="H31" i="1" s="1"/>
  <c r="E30" i="1"/>
  <c r="G30" i="1" s="1"/>
  <c r="H30" i="1" s="1"/>
  <c r="E29" i="1"/>
  <c r="G29" i="1" s="1"/>
  <c r="G28" i="1"/>
  <c r="H28" i="1" s="1"/>
  <c r="E28" i="1"/>
  <c r="G25" i="1"/>
  <c r="G24" i="1" s="1"/>
  <c r="H24" i="1" s="1"/>
  <c r="G39" i="1" l="1"/>
  <c r="H39" i="1" s="1"/>
  <c r="H40" i="1"/>
  <c r="G79" i="1"/>
  <c r="H80" i="1"/>
  <c r="H108" i="1"/>
  <c r="G107" i="1"/>
  <c r="H66" i="1"/>
  <c r="G65" i="1"/>
  <c r="G27" i="1"/>
  <c r="H29" i="1"/>
  <c r="G55" i="1"/>
  <c r="H56" i="1"/>
  <c r="H159" i="1"/>
  <c r="G158" i="1"/>
  <c r="H115" i="1"/>
  <c r="G114" i="1"/>
  <c r="H114" i="1" s="1"/>
  <c r="G149" i="1"/>
  <c r="H149" i="1" s="1"/>
  <c r="H25" i="1"/>
  <c r="G111" i="1"/>
  <c r="G138" i="1"/>
  <c r="H138" i="1" s="1"/>
  <c r="G74" i="1"/>
  <c r="H74" i="1" s="1"/>
  <c r="H145" i="1"/>
  <c r="G64" i="1" l="1"/>
  <c r="H64" i="1" s="1"/>
  <c r="H65" i="1"/>
  <c r="H158" i="1"/>
  <c r="G106" i="1"/>
  <c r="H106" i="1" s="1"/>
  <c r="H107" i="1"/>
  <c r="H111" i="1"/>
  <c r="G110" i="1"/>
  <c r="H110" i="1" s="1"/>
  <c r="H55" i="1"/>
  <c r="G54" i="1"/>
  <c r="H54" i="1" s="1"/>
  <c r="G78" i="1"/>
  <c r="H78" i="1" s="1"/>
  <c r="H79" i="1"/>
  <c r="H27" i="1"/>
  <c r="G26" i="1"/>
  <c r="H26" i="1" s="1"/>
  <c r="H161" i="1" l="1"/>
  <c r="H23" i="1" s="1"/>
  <c r="H160" i="1"/>
</calcChain>
</file>

<file path=xl/sharedStrings.xml><?xml version="1.0" encoding="utf-8"?>
<sst xmlns="http://schemas.openxmlformats.org/spreadsheetml/2006/main" count="764" uniqueCount="449">
  <si>
    <t>MANUTENÇÃO PREDIAL PREVENTIVA E CORRETIVA DOS NÚCLEO DA DEFENSORIAS PÚBLICAS DO ESTADO DO MARANHÃO
LOTE 02</t>
  </si>
  <si>
    <t>LOCAL</t>
  </si>
  <si>
    <t>DEFENSORIA PÚBLICA REGIONAL DE ARARI</t>
  </si>
  <si>
    <t>ENDEREÇO</t>
  </si>
  <si>
    <t>Rua Ibrahim Ferreira, nº 22, Centro, Arari - MA</t>
  </si>
  <si>
    <t>DEFENSORIA PÚBLICA REGIONAL DE BOM JARDIM</t>
  </si>
  <si>
    <t>Rua Nova Brasília, 246 Alto Praxedes - Bom Jardim - MA</t>
  </si>
  <si>
    <t>DEFENSORIA PÚBLICA REGIONAL DE CHAPADINHA</t>
  </si>
  <si>
    <t>Travessa Sebastião Barbosa, nº 10, Centro. Chapadinha - MA</t>
  </si>
  <si>
    <t>DEFENSORIA PÚBLICA REGIONAL DE ITAPECURU</t>
  </si>
  <si>
    <t>Rua Coelho Neto, nº 352 - Centro - Itapecuru-Mirim - MA</t>
  </si>
  <si>
    <t>DEFENSORIA PÚBLICA REGIONAL DE SANTA INÊS</t>
  </si>
  <si>
    <t>Rua Waddy Haddad, nº 85, Centro - Santa Inês - MA.</t>
  </si>
  <si>
    <t>DEFENSORIA PÚBLICA REGIONAL DE SANTA QUITÉRIA</t>
  </si>
  <si>
    <t>Avenida Hermelinda Pedrosa, Nº 46, Centro, Santa Quitéria do Maranhão</t>
  </si>
  <si>
    <t>DEFENSORIA PÚBLICA REGIONAL DE VARGEM GRANDE</t>
  </si>
  <si>
    <t>Rua Sebastião de Abreu, nº 645 - Centro - Vargem Grande - MA</t>
  </si>
  <si>
    <t>DEFENSORIA PÚBLICA REGIONAL DE VIANA</t>
  </si>
  <si>
    <t>Rua Prof° Antônio Lopes, 262, Bairro Matriz.</t>
  </si>
  <si>
    <t>DEFENSORIA PÚBLICA REGIONAL DE ZÉ DOCA</t>
  </si>
  <si>
    <t>Av. Cel Stanley Batista, nº 638 - Centro.</t>
  </si>
  <si>
    <t>SINAPI DEZ/2021 - ORSE DEZ/2021 – SBC-  MARANHÃO SBC - 02/2022 - SLS - São Luís - CONSULTA DE MERCADO FEV/2022</t>
  </si>
  <si>
    <t>ITEM</t>
  </si>
  <si>
    <t>CÓD. SINAPI/CONS. MERCADO</t>
  </si>
  <si>
    <t>DISCRIMINAÇÃO</t>
  </si>
  <si>
    <t>UN</t>
  </si>
  <si>
    <t>QUANT. MÁX.</t>
  </si>
  <si>
    <t>P. UNIT.</t>
  </si>
  <si>
    <t>TOTAL</t>
  </si>
  <si>
    <t>VALOR COM BDI</t>
  </si>
  <si>
    <t>SUB TOTAL (com BDI %)</t>
  </si>
  <si>
    <t>1.0</t>
  </si>
  <si>
    <t>SERVIÇOS PRELIMINARES</t>
  </si>
  <si>
    <t>1.1</t>
  </si>
  <si>
    <t>C.M.</t>
  </si>
  <si>
    <t>TAXA DO CREA PARA OBRAS ACIMA R$ 15.000</t>
  </si>
  <si>
    <t>2.0</t>
  </si>
  <si>
    <t>PISOS E PAREDES</t>
  </si>
  <si>
    <t>2.1</t>
  </si>
  <si>
    <t>PISO</t>
  </si>
  <si>
    <t>2.1.1</t>
  </si>
  <si>
    <t>74245/001</t>
  </si>
  <si>
    <t>PINTURA ACRILICA EM PISO CIMENTADO DUAS DEMAOS NA COR CINZA</t>
  </si>
  <si>
    <t>M2</t>
  </si>
  <si>
    <t>2.1.2</t>
  </si>
  <si>
    <t>COMP. PRÓPRIA (DPE-MA)</t>
  </si>
  <si>
    <t>REJUNTAMENTO DE PISO CERÂMICO NA COR PRETA</t>
  </si>
  <si>
    <t>2.1.3</t>
  </si>
  <si>
    <t>RETIRADA DE REVESTIMENTO CERÂMICO 30X30 CM</t>
  </si>
  <si>
    <t>2.1.4</t>
  </si>
  <si>
    <t>87247</t>
  </si>
  <si>
    <t>REVESTIMENTO CERÂMICO PARA PISO COM PLACAS TIPO GRÊS DE DIMENSÕES 35X35 CM APLICADA EM AMBIENTES DE ÁREA ENTRE 5 M2 E 10 M2. AF_06/2014</t>
  </si>
  <si>
    <t>2.1.5</t>
  </si>
  <si>
    <t>02180/ORSE</t>
  </si>
  <si>
    <t xml:space="preserve"> REGULARIZAÇÃO DE BASE PARA REVEST. DE PISO COM ARGAMASSA TRAÇO 1:4, ESPESSURA MÉDIA =2,5CM</t>
  </si>
  <si>
    <t>2.1.6</t>
  </si>
  <si>
    <t>00018/ORSE</t>
  </si>
  <si>
    <t xml:space="preserve"> DEMOLIÇÃO DE PISO CERÂMICO OU LADRILHO</t>
  </si>
  <si>
    <t>2.1.7</t>
  </si>
  <si>
    <t>73616</t>
  </si>
  <si>
    <t>DEMOLICAO DE CONCRETO SIMPLES</t>
  </si>
  <si>
    <t>M3</t>
  </si>
  <si>
    <t>2.1.8</t>
  </si>
  <si>
    <t>DEMOLICAO MANUAL DE PISO / CONTRAPISO</t>
  </si>
  <si>
    <t>2.1.9</t>
  </si>
  <si>
    <t>88648</t>
  </si>
  <si>
    <t>RODAPÉ CERÂMICO DE 7CM DE ALTURA COM PLACAS TIPO ESMALTADA EXTRA DE DIMENSÕES 35X35CM. AF_06/2014</t>
  </si>
  <si>
    <t>M</t>
  </si>
  <si>
    <t>2.1.10</t>
  </si>
  <si>
    <t>02266/ORSE</t>
  </si>
  <si>
    <t xml:space="preserve"> SOLEIRA EM GRANITO CINZA ANDORINHA, L= 15 CM, E= 2CM</t>
  </si>
  <si>
    <t>2.1.11</t>
  </si>
  <si>
    <t>90444</t>
  </si>
  <si>
    <r>
      <rPr>
        <sz val="12"/>
        <color rgb="FF000000"/>
        <rFont val="Arial"/>
        <family val="2"/>
        <charset val="1"/>
      </rPr>
      <t>RASGO EM CONTRAPISO PARA RAMAIS/ DISTRIBUIÇÃO COM DIÂMETROS MAIORES QUE 40 MM E MENORES QUE 75 MM.</t>
    </r>
    <r>
      <rPr>
        <sz val="12"/>
        <color rgb="FF000000"/>
        <rFont val="Courier New"/>
        <family val="3"/>
        <charset val="1"/>
      </rPr>
      <t>AF_05/2015</t>
    </r>
  </si>
  <si>
    <t>2.2</t>
  </si>
  <si>
    <t>PAREDES</t>
  </si>
  <si>
    <t>2.2.1</t>
  </si>
  <si>
    <t>72215</t>
  </si>
  <si>
    <t>DEMOLICAO DE ALVENARIA DE ELEMENTOS CERAMICOS VAZADOS</t>
  </si>
  <si>
    <t>2.2.2</t>
  </si>
  <si>
    <t>73802/001</t>
  </si>
  <si>
    <t>DEMOLICAO DE REVESTIMENTO DE ARGAMASSA DE CAL E AREIA</t>
  </si>
  <si>
    <t>2.2.3</t>
  </si>
  <si>
    <t>87489</t>
  </si>
  <si>
    <t>ALVENARIA DE VEDAÇÃO DE BLOCOS CERÂMICOS FURADOS NA VERTICAL DE 9X19X39CM (ESPESSURA 9CM) DE PAREDES COM ÁREA LÍQUIDA MAIOR OU IGUAL A 6M² COM VÃOS E ARGAMASSA DE ASSENTAMENTO COM PREPARO EM BETONEIRA</t>
  </si>
  <si>
    <t>2.2.4</t>
  </si>
  <si>
    <t>87878</t>
  </si>
  <si>
    <t>CHAPISCO APLICADO TANTO EM PILARES E VIGAS DE CONCRETO COMO EM ALVENARIAS DE PAREDES INTERNAS, COM COLHER DE PEDREIRO. ARGAMASSA TRAÇO 1:3IAS DE PAREDES INTERNAS, COM COLHER DE PEDREIRO. ARGAMASSA TRAÇO 1:3</t>
  </si>
  <si>
    <t>2.2.5</t>
  </si>
  <si>
    <t>87530</t>
  </si>
  <si>
    <t>MASSA ÚNICA, PARA RECEBIMENTO DE PINTURA, EM ARGAMASSA TRAÇO 1:2:8,PREPARO MECÂNICO COM BETONEIRA 400L, APLICADA MANUALMENTE EM FACES INTERNAS DE PAREDES DE AMBIENTES COM ÁREA MAIOR QUE 10M2, ESPESSURA DE 20MM, COM EXECUÇÃO DE TALISCAS</t>
  </si>
  <si>
    <t>2.2.6</t>
  </si>
  <si>
    <t>88485</t>
  </si>
  <si>
    <t>APLICAÇÃO DE FUNDO SELADOR ACRÍLICO EM PAREDES, UMA DEMÃO. AF_06/2014</t>
  </si>
  <si>
    <t>2.2.7</t>
  </si>
  <si>
    <t>88497</t>
  </si>
  <si>
    <t>APLICAÇÃO E LIXAMENTO DE MASSA LATÉX EM PAREDES, DUAS DEMÃOS</t>
  </si>
  <si>
    <t>2.2.8</t>
  </si>
  <si>
    <t>88487</t>
  </si>
  <si>
    <t>APLICAÇÃO MANUAL DE PINTURA COM TINTA LÁTEX PVA EM PAREDES, DUAS DEMÃOS</t>
  </si>
  <si>
    <t>2.2.9</t>
  </si>
  <si>
    <t>08624/ORSE</t>
  </si>
  <si>
    <t xml:space="preserve"> EMASSAMENTO DE SUPERFÍCIE, COM APLICAÇÃO DE 02 DEMÃOS DE MASSA ACRÍLICA, LIXAMENTO E RETOQUE</t>
  </si>
  <si>
    <t>2.2.10</t>
  </si>
  <si>
    <t>88489</t>
  </si>
  <si>
    <t>APLICAÇÃO MANUAL DE PINTURA COM TINTA LÁTEX ACRÍLICA EM PAREDES, DUAS DEMÃOS</t>
  </si>
  <si>
    <t>2.2.11</t>
  </si>
  <si>
    <t>79334/001</t>
  </si>
  <si>
    <t>PINTURA A BASE DE CAL E FIXADOR A BASE DE COLA, DUAS DEMAOS</t>
  </si>
  <si>
    <t>2.2.12</t>
  </si>
  <si>
    <t>RETIRADA DE REVESTIMENTO CERÂMICO 45X45 CM</t>
  </si>
  <si>
    <t>2.2.13</t>
  </si>
  <si>
    <t>87273</t>
  </si>
  <si>
    <t>REVESTIMENTO CERÂMICO PARA PAREDES INTERNAS COM PLACAS TIPO GRÊS OU SEMI-GRÊS DE DIMENSÕES 33X45 CM APLICADAS EM AMBIENTES DE ÁREA MAIOR QUE 5 M² NA ALTURA INTEIRA DAS PAREDES</t>
  </si>
  <si>
    <t>2.2.14</t>
  </si>
  <si>
    <t>90443</t>
  </si>
  <si>
    <t>RASGO EM ALVENARIA PARA RAMAIS/ DISTRIBUIÇÃO COM DIAMETROS MENORES OU IGUAIS A 40 MM</t>
  </si>
  <si>
    <t>3.0</t>
  </si>
  <si>
    <t>TETO</t>
  </si>
  <si>
    <t>3.1</t>
  </si>
  <si>
    <t>3.1.1</t>
  </si>
  <si>
    <t>ORSE/0012</t>
  </si>
  <si>
    <t xml:space="preserve">DEMOLIÇÃO DE FORRO </t>
  </si>
  <si>
    <t>3.1.2</t>
  </si>
  <si>
    <t>01954/ORSE</t>
  </si>
  <si>
    <t>FORRO DE GESSO, EM PLACAS 60X60 CM, INCLUSIVE MADEIRAMENTO EM RIPÃO 3,5 CMX 5,5CM</t>
  </si>
  <si>
    <t>3.1.3</t>
  </si>
  <si>
    <t>88496</t>
  </si>
  <si>
    <t>APLICAÇÃO E LIXAMENTO DE MASSA LÁTEX EM TETO, DUAS DEMÃOS. AF_06/2014</t>
  </si>
  <si>
    <t>3.1.4</t>
  </si>
  <si>
    <t>88486</t>
  </si>
  <si>
    <t>APLICAÇÃO MANUAL DE PINTURA COM TINTA LÁTEX PVA EM TETO, DUAS DEMÃOS.</t>
  </si>
  <si>
    <t>3.1.5</t>
  </si>
  <si>
    <t>72238</t>
  </si>
  <si>
    <t>RETIRADA DE FORRO EM REGUAS DE PVC, INCLUSIVE RETIRADA DE PERFIS</t>
  </si>
  <si>
    <t>3.1.6</t>
  </si>
  <si>
    <t>C.M</t>
  </si>
  <si>
    <t>FORRO DE PVC METABIL OU SIMILAR, PLACAS NA COR BRANCA, APLICADO( INCLUSO PERFIS DE FIXAÇÃO)</t>
  </si>
  <si>
    <t>3.1.7</t>
  </si>
  <si>
    <t>74065/003</t>
  </si>
  <si>
    <t>PINTURA ESMALTE SINTÉTICO PARA MADEIRA, DUAS DEMÃO SOBRE FUNDO NIVELADOR BRANCO</t>
  </si>
  <si>
    <t>3.1.8</t>
  </si>
  <si>
    <t>74133/002</t>
  </si>
  <si>
    <t>EMASSAMENTO COM MASSA A OLEO, DUAS DEMAOS</t>
  </si>
  <si>
    <t>4.0</t>
  </si>
  <si>
    <t>ESQUADRIAS</t>
  </si>
  <si>
    <t>4.1</t>
  </si>
  <si>
    <t>ESQUADRIAS EM MADEIRA</t>
  </si>
  <si>
    <t>4.1.1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</si>
  <si>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</si>
  <si>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</si>
  <si>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4.1.2</t>
  </si>
  <si>
    <t>90848</t>
  </si>
  <si>
    <t>KIT DE PORTA DE MADEIRA PARA PINTURA, SEMI-OCA (LEVE OU MÉDIA), PADRÃO MÉDIO, 70X210CM, ESPESSURA DE 3,5CM, ITENS INCLUSOS: DOBRADIÇAS, MONTAGEM E INSTALAÇÃO DO BATENTE, FECHADURA COM EXECUÇÃO DO FURO - FORNECIMENTO E INSTALAÇÃO. AF_08/2015</t>
  </si>
  <si>
    <t>4.1.3</t>
  </si>
  <si>
    <t>90849</t>
  </si>
  <si>
    <t>KIT DE PORTA DE MADEIRA PARA PINTURA, SEMI-OCA (LEVE OU MÉDIA), PADRÃO MÉDIO, 80X210CM, ESPESSURA DE 3,5CM, ITENS INCLUSOS: DOBRADIÇAS, MONTAGEM E INSTALAÇÃO DO BATENTE, SEM FECHADURA - FORNECIMENTO E INSTALAÇÃO. AF_08/2015</t>
  </si>
  <si>
    <t>4.1.4</t>
  </si>
  <si>
    <t>84657</t>
  </si>
  <si>
    <t>FUNDO SINTETICO NIVELADOR BRANCO</t>
  </si>
  <si>
    <t>4.1.5</t>
  </si>
  <si>
    <t>4.1.6</t>
  </si>
  <si>
    <t>PINTURA ESMALTE BRILHANTE PARA MADEIRA, DUAS DEMAOS, SOBRE FUNDO NIVELADOR BRANCO</t>
  </si>
  <si>
    <t>4.1.7</t>
  </si>
  <si>
    <t>72142</t>
  </si>
  <si>
    <t>RETIRADA DE FOLHAS DE PORTA DE PASSAGEM OU JANELA</t>
  </si>
  <si>
    <t>4.1.8</t>
  </si>
  <si>
    <t>72144</t>
  </si>
  <si>
    <t>RECOLOCACAO DE FOLHAS DE PORTA DE PASSAGEM OU JANELA, CONSIDERANDO REAPROVEITAMENTO DO MATERIAL</t>
  </si>
  <si>
    <t>4.2</t>
  </si>
  <si>
    <t>ESQUADRIAS METÁLICAS</t>
  </si>
  <si>
    <t>4.2.1</t>
  </si>
  <si>
    <t>08040/ORSE</t>
  </si>
  <si>
    <t xml:space="preserve"> REMOÇÃO DE PINTURA A BASE ÓLEO OU ESMALTE, UTILIZANDO REMOVEDOR DE TINTA CORAL OU SIMILAR</t>
  </si>
  <si>
    <t>4.2.2</t>
  </si>
  <si>
    <t>6067</t>
  </si>
  <si>
    <t>PINTURA ESMALTE BRILHANTE (2 DEMAOS) SOBRE SUPERFICIE METALICA, INCLUSIVE PROTECAO COM ZARCAO (1 DEMAO)</t>
  </si>
  <si>
    <t>4.2.3</t>
  </si>
  <si>
    <t>MOLA HIDRÁULICA PARA PORTA DE VIDRO</t>
  </si>
  <si>
    <t>5.0</t>
  </si>
  <si>
    <t>INSTALAÇÕES E MATERIAIS ELÉTRICOS E TELEFÔNICOS</t>
  </si>
  <si>
    <t>5.1</t>
  </si>
  <si>
    <t>INSTALAÇÕES E MATERIAIS ELÉTRICOS</t>
  </si>
  <si>
    <t>5.1.1</t>
  </si>
  <si>
    <t>85416</t>
  </si>
  <si>
    <t>REMOCAO DE TOMADAS OU INTERRUPTORES ELETRICOS</t>
  </si>
  <si>
    <t>5.1.2</t>
  </si>
  <si>
    <t>85332</t>
  </si>
  <si>
    <t>RETIRADA DE APARELHOS DE ILUMINACAO C/ REAPROVEITAMENTO DE LAMPADAS</t>
  </si>
  <si>
    <t>5.1.3</t>
  </si>
  <si>
    <t>00555/ORSE</t>
  </si>
  <si>
    <t xml:space="preserve"> REATOR DE PARTIDA RÁPIDA P/ LÂMPADA FLUORESCENTE 2X20 W</t>
  </si>
  <si>
    <t>5.1.4</t>
  </si>
  <si>
    <t>00557ORSE</t>
  </si>
  <si>
    <t xml:space="preserve"> REATOR DE PARTIDA RÁPIDA P/ LÂMPADA FLUORESCENTE 2X40 W</t>
  </si>
  <si>
    <t>5.1.5</t>
  </si>
  <si>
    <t>LAMPADA FLUORESCENTE 40W - FORNECIMENTO E INSTALACAO</t>
  </si>
  <si>
    <t>5.1.6</t>
  </si>
  <si>
    <t>LAMPADA FLUORESCENTE 20W - FORNECIMENTO E INSTALACAO</t>
  </si>
  <si>
    <t>5.1.7</t>
  </si>
  <si>
    <t>INTERRUPTOR SIMPLES (1 MÓDULO), 10A/250V, INCLUINDO SUPORTE E PLACA FORNECIMENTO E INSTALAÇÃO</t>
  </si>
  <si>
    <t>5.1.8</t>
  </si>
  <si>
    <t>INTERRUPTOR SIMPLES (2 MÓDULOS), 10A/250V, INCLUINDO SUPORTE E PLACA FORNECIMENTO E INSTALAÇÃO</t>
  </si>
  <si>
    <t>5.1.9</t>
  </si>
  <si>
    <t>73953/002</t>
  </si>
  <si>
    <t>LUMINARIA TIPO CALHA, DE SOBREPOR, COM REATOR DE PARTIDA RAPIDA E LAMPADA FLUORESCENTE 2X20W, COMPLETA, FORNECIMENTO E INSTALACAO</t>
  </si>
  <si>
    <t>5.1.10</t>
  </si>
  <si>
    <t>73953/006</t>
  </si>
  <si>
    <t>LUMINARIA TIPO CALHA, DE SOBREPOR, COM REATOR DE PARTIDA RAPIDA E LAMPADA FLUORESCENTE 2X40W, COMPLETA, FORNECIMENTO E INSTALACAO</t>
  </si>
  <si>
    <t>5.1.11</t>
  </si>
  <si>
    <t>97955</t>
  </si>
  <si>
    <t>LUMINÁRIA DE EMERGÊNCIA, COM 30 LÂMPADAS LED DE 2 W, SEM REATOR - FORNECIMENTO E INSTALAÇÃO. AF_02/2020</t>
  </si>
  <si>
    <t>5.1.12</t>
  </si>
  <si>
    <t>LUMINARIA ESTANQUE – PROTECAO CONTRA AGUA, POEIRA, OU IMPACTOS – TIPO AQUATIC (TIPO TARTARUGA NA COR BRANCA, 3/4, ALUMÍNIO E VIDRO COM LÂMPADA 25W FLUORESCENTE COMPACTA)</t>
  </si>
  <si>
    <t>5.1.13</t>
  </si>
  <si>
    <t>ELETRODUTO FLEXÍVEL CORRUGADO, PVC, DN 32 MM (1"), PARA CIRCUITOS TERMINAIS, INSTALADO EM FORRO – FORNECIMENTO E INSTALAÇÃO</t>
  </si>
  <si>
    <t>5.1.14</t>
  </si>
  <si>
    <t>ELETRODUTO FLEXÍVEL CORRUGADO, PVC, DN 32 MM (1"), PARA CIRCUITOS TERMINAIS, INSTALADO EM PAREDE – FORNECIMENTO E INSTALAÇÃO</t>
  </si>
  <si>
    <t>5.1.15</t>
  </si>
  <si>
    <t>CABO DE COBRE FLEXÍVEL ISOLADO, 1,5 MM², ANTI-CHAMA 450/750 V, PARA CIRCUITOS TERMINAIS - FORNECIMENTO E INSTALAÇÃO. AF_12/2015</t>
  </si>
  <si>
    <t>5.1.16</t>
  </si>
  <si>
    <t>CABO DE COBRE FLEXÍVEL ISOLADO, 2,5 MM², ANTI-CHAMA 450/750 V, PARA CIRCUITOS TERMINAIS - FORNECIMENTO E INSTALAÇÃO. AF_12/2015</t>
  </si>
  <si>
    <t>5.1.17</t>
  </si>
  <si>
    <t>CABO DE COBRE FLEXÍVEL ISOLADO, 4,0  MM², ANTI-CHAMA 0,6/1,0 KV, PARA CIRCUITOS TERMINAIS - FORNECIMENTO E INSTALAÇÃO</t>
  </si>
  <si>
    <t>5.1.18</t>
  </si>
  <si>
    <t>CABO DE COBRE FLEXÍVEL ISOLADO, 10,0  MM², ANTI-CHAMA 450/750 KV, PARA CIRCUITOS TERMINAIS - FORNECIMENTO E INSTALAÇÃO AF12/2015</t>
  </si>
  <si>
    <t>5.1.19</t>
  </si>
  <si>
    <t>TOMADA BAIXA DE EMBUTIR (1 MÓDULO), 2P+T 20 A, INCLUINDO SUPORTE E PLACA - FORNECIMENTO E INSTALAÇÃO</t>
  </si>
  <si>
    <t>5.1.20</t>
  </si>
  <si>
    <t>TOMADA BAIXA DE EMBUTIR (2 MÓDULOS), 2P+T 20 A, INCLUINDO SUPORTE E PLACA – FORNECIMENTO E INSTALAÇÃO</t>
  </si>
  <si>
    <t>5.1.21</t>
  </si>
  <si>
    <t>TOMADA  ALTA DE EMBUTIR (1 MÓDULO), 2P+T 20 A, INCLUINDO SUPORTE E PLACA - FORNECIMENTO E INSTALAÇÃO</t>
  </si>
  <si>
    <t>5.1.22</t>
  </si>
  <si>
    <t>TOMADA MÉDIA DE EMBUTIR (2 MÓDULOS), 2P+T 20 A, INCLUINDO SUPORTE E PLACA – FORNECIMENTO E INSTALAÇÃO</t>
  </si>
  <si>
    <t>5.1.23</t>
  </si>
  <si>
    <t>08819/ORSE</t>
  </si>
  <si>
    <t>TOMADA PARA USO GERAL 2P+T, ABNT, DE SOBREPOR, 20 A, COM CAIXA, "SISTEMA X", PARA USO COM CANALETA 20X10 MM</t>
  </si>
  <si>
    <t>5.1.24</t>
  </si>
  <si>
    <t>03811/ORSE</t>
  </si>
  <si>
    <t>CANALETA PLÁSTICA 25X25 MM (SCHEINEDER OU SIMILAR)- FORNECIMENTO E INSTALAÇÃO</t>
  </si>
  <si>
    <t>5.1.25</t>
  </si>
  <si>
    <t>74130/001</t>
  </si>
  <si>
    <t>DISJUNTOR TERMOMAGNETICO MONOPOLAR PADRAO NEMA (AMERICANO) 10 A 30A 240V, FORNECIMENTO E INSTALACAO</t>
  </si>
  <si>
    <t>5.1.26</t>
  </si>
  <si>
    <t>74130/002</t>
  </si>
  <si>
    <t>DISJUNTOR TERMOMAGNETICO MONOPOLAR PADRAO NEMA (AMERICANO) 35 A 50A 240V, FORNECIMENTO E INSTALACAO</t>
  </si>
  <si>
    <t>6.0</t>
  </si>
  <si>
    <t>INSTALAÇÕES DE CABEAMENTO ESTRUTURADO</t>
  </si>
  <si>
    <t>6.1</t>
  </si>
  <si>
    <t>CABEAMENTO ESTRUTURADO</t>
  </si>
  <si>
    <t>6.1.1</t>
  </si>
  <si>
    <t>05006/ORSE</t>
  </si>
  <si>
    <t xml:space="preserve"> PONTO PARA CABEAMENTO ESTRUTURADO EMBUTIDO, COM ELETRODUTO PVC RÍGIDO C/CABO UTP 4 PARES CAT 6E</t>
  </si>
  <si>
    <t>6.1.2</t>
  </si>
  <si>
    <t>00697/ORSE</t>
  </si>
  <si>
    <t xml:space="preserve"> FORNECIMENTO E LANÇAMENTO DE CABO UTP 4 PARES CAT 5E</t>
  </si>
  <si>
    <t>7.0</t>
  </si>
  <si>
    <t>INSTALAÇÕES E MATERIAIS HIDROSANITÁRIOS</t>
  </si>
  <si>
    <t>7.1</t>
  </si>
  <si>
    <t>INSTALAÇÕES HIDROSANITÁRIOS</t>
  </si>
  <si>
    <t>7.1.1</t>
  </si>
  <si>
    <t>7.1.2</t>
  </si>
  <si>
    <t>7.2</t>
  </si>
  <si>
    <t>MATERIAIS HIDROSSINATÁRIOS</t>
  </si>
  <si>
    <t>7.2.1</t>
  </si>
  <si>
    <t>89356</t>
  </si>
  <si>
    <t>TUBO, PVC, SOLDÁVEL, DN 25MM, INSTALADO EM RAMAL OU SUB-RAMAL DE ÁGUA - FORNECIMENTO E INSTALAÇÃO</t>
  </si>
  <si>
    <t>7.2.2</t>
  </si>
  <si>
    <t>89383</t>
  </si>
  <si>
    <t>ADAPTADOR CURTO COM BOLSA E ROSCA PARA REGISTRO, PVC, SOLDÁVEL, DN 25M M X 3/4", INSTALADO EM RAMAL OU SUB-RAMAL DE ÁGUA - FORNECIMENTO E INSTALAÇÃO. AF_12/2014_P</t>
  </si>
  <si>
    <t>7.2.3</t>
  </si>
  <si>
    <t>73663</t>
  </si>
  <si>
    <t>REGISTRO DE GAVETA COM CANOPLA Ø 25MM (1) - FORNECIMENTO E INSTALAÇÃO</t>
  </si>
  <si>
    <t>7.2.4</t>
  </si>
  <si>
    <t>89395</t>
  </si>
  <si>
    <t>TE, PVC, SOLDÁVEL, DN 25MM, INSTALADO EM RAMAL OU SUB-RAMAL DE ÁGUA -FORNECIMENTO E INSTALAÇÃO</t>
  </si>
  <si>
    <t>7.2.5</t>
  </si>
  <si>
    <t>89362</t>
  </si>
  <si>
    <t>JOELHO 90 GRAUS, PVC, SOLDÁVEL, DN 25MM, INSTALADO EM RAMAL OU SUB-RAMAL DE ÁGUA - FORNECIMENTO E INSTALAÇÃO</t>
  </si>
  <si>
    <t>7.2.6</t>
  </si>
  <si>
    <t>89378</t>
  </si>
  <si>
    <t>LUVA, PVC, SOLDÁVEL, DN 25MM, INSTALADO EM RAMAL OU SUB-RAMAL DE ÁGUA - FORNECIMENTO E INSTALAÇÃO</t>
  </si>
  <si>
    <t>7.2.7</t>
  </si>
  <si>
    <t>89410</t>
  </si>
  <si>
    <t>CURVA 90 GRAUS, PVC, SOLDÁVEL, DN 25MM, INSTALADO EM RAMAL DE DISTRIBUIÇÃO DE ÁGUA - FORNECIMENTO E INSTALAÇÃO. AF_12/2014_P</t>
  </si>
  <si>
    <t>7.2.8</t>
  </si>
  <si>
    <t>COMP. PRÓPRIA (DPE-MA012)</t>
  </si>
  <si>
    <t>ABRAÇADEIRA EM AÇO, TIPO "D", COM 1'' ( COM CUNHA E PARAFUSO) - FORNECIMENTO E INSTALAÇÃO</t>
  </si>
  <si>
    <t>7.2.9</t>
  </si>
  <si>
    <t>01200/ORSE</t>
  </si>
  <si>
    <t xml:space="preserve"> PONTO DE ÁGUA FRIA EMBUTIDO, C/MATERIAL PVC RÍGIDO SOLDÁVEL Ø 25mm</t>
  </si>
  <si>
    <t>7.2.10</t>
  </si>
  <si>
    <t>89711</t>
  </si>
  <si>
    <t>TUBO PVC, SERIE NORMAL, ESGOTO PREDIAL, DN 40 MM, FORNECIDO E INSTALADO EM RAMAL DE DESCARGA OU RAMAL DE ESGOTO SANITÁRIO. AF_12/2014_P</t>
  </si>
  <si>
    <t>7.2.11</t>
  </si>
  <si>
    <t>89724</t>
  </si>
  <si>
    <t>JOELHO 90 GRAUS, PVC, SERIE NORMAL, ESGOTO PREDIAL, DN 40 MM, JUNTA ELÁSTICA, FORNECIDO E INSTALADO EM RAMAL DE DESCARGA OU RAMAL DE ESGOTO SANITÁRIO. AF_12/2014</t>
  </si>
  <si>
    <t>7.2.12</t>
  </si>
  <si>
    <t>89728</t>
  </si>
  <si>
    <t>CURVA CURTA 90 GRAUS, PVC, SERIE NORMAL, ESGOTO PREDIAL, DN 40 MM, JUNTA ELÁSTICA, FORNECIDO E INSTALADO EM RAMAL DE DESCARGA OU RAMAL DE ESGOTO SANITÁRIO. AF_12/2014</t>
  </si>
  <si>
    <t>7.2.13</t>
  </si>
  <si>
    <t>89754</t>
  </si>
  <si>
    <t>LUVA DE CORRER, PVC, SERIE NORMAL, ESGOTO PREDIAL, DN 50 MM, JUNTA ELÁSTICA, FORNECIDO E INSTALADO EM RAMAL DE DESCARGA OU RAMAL DE ESGOTO SANITÁRIO. AF_12/2014</t>
  </si>
  <si>
    <t>7.2.14</t>
  </si>
  <si>
    <t>89782</t>
  </si>
  <si>
    <t>TE, PVC, SERIE NORMAL, ESGOTO PREDIAL, DN 40 X 40 MM, JUNTA ELÁSTICA - FORNECIDO E INSTALADO EM RAMAL DE DESCARGA OU RAMAL DE ESGOTO SANITÁRI</t>
  </si>
  <si>
    <t>7.2.15</t>
  </si>
  <si>
    <t>89714</t>
  </si>
  <si>
    <t>TUBO PVC, SERIE NORMAL, ESGOTO PREDIAL, DN 100 MM, FORNECIDO E INSTALADO EM RAMAL DE DESCARGA OU RAMAL DE ESGOTO SANITÁRIO. AF_12/2014_P</t>
  </si>
  <si>
    <t>7.2.16</t>
  </si>
  <si>
    <t>86884</t>
  </si>
  <si>
    <t>ENGATE FLEXÍVEL EM PLÁSTICO BRANCO, 1/2" X 30CM - FORNECIMENTO E INSTALAÇÃO. AF_12/2013</t>
  </si>
  <si>
    <t>7.2.17</t>
  </si>
  <si>
    <t>86883</t>
  </si>
  <si>
    <t>SIFÃO DO TIPO FLEXÍVEL EM PVC 3/4" X 1.1/2" - FORNECIMENTO E INSTALAÇÃO. AF_12/2013</t>
  </si>
  <si>
    <t>7.2.18</t>
  </si>
  <si>
    <t>04324/ORSE</t>
  </si>
  <si>
    <t>PAPELEIRA DE PLÁSTICO AKROS OU SIMILAR</t>
  </si>
  <si>
    <t>7.2.19</t>
  </si>
  <si>
    <t>02066/ORSE</t>
  </si>
  <si>
    <t>ASSENTO PARA VASO SANITÁRIO, AP60, LINHA CARRARA/NUOVA/DUNA, PLÁSTICO, DECA OU SIMILAR</t>
  </si>
  <si>
    <t>7.2.20</t>
  </si>
  <si>
    <t>04387/ORSE</t>
  </si>
  <si>
    <t>ASSENTO PARA VASO SANITARIO REMOVÍVEL P/DEFICIENTE FÍSICO, DECA OU SIMILAR</t>
  </si>
  <si>
    <t>7.2.21</t>
  </si>
  <si>
    <t>07611/ORSE</t>
  </si>
  <si>
    <t>PORTA PAPEL-HIGIÊNICO EM INOX</t>
  </si>
  <si>
    <t>7.2.22</t>
  </si>
  <si>
    <t>07609/ORSE</t>
  </si>
  <si>
    <t>SABONETEIRA EM PLÁSTICO ABS, PARA SABONETE LÍQUIDO, DA JSN, REF 17 OU SIMILAR</t>
  </si>
  <si>
    <t>7.2.23</t>
  </si>
  <si>
    <t>KIT DE REPARO CAIXA ACOPLADA</t>
  </si>
  <si>
    <t>8.0</t>
  </si>
  <si>
    <t>LOUÇAS E METAIS</t>
  </si>
  <si>
    <t>8.1</t>
  </si>
  <si>
    <t>LOUÇAS</t>
  </si>
  <si>
    <t>8.1.1</t>
  </si>
  <si>
    <t>85333</t>
  </si>
  <si>
    <t>RETIRADA DE APARELHOS SANITARIOS</t>
  </si>
  <si>
    <t>8.1.2</t>
  </si>
  <si>
    <t>86888</t>
  </si>
  <si>
    <t>VASO SANITÁRIO SIFONADO COM CAIXA ACOPLADA LOUÇA BRANCA - FORNECIMENTO E INSTALAÇÃO. AF_12/2013</t>
  </si>
  <si>
    <t>8.1.3</t>
  </si>
  <si>
    <t>BACIA DE LOUÇA COM ABERTURA FRONTAL P/ PNE, CAIXA DE DESCARGA PVC EXTERNA COMPLETA 9L, ENGATE FLEXÍVEL, BOIA E SUPORTE DE FIXAÇÃO, BOLSA DE LIGAÇÃO E CONJUNTO PARA FIXAÇÃO DE CAIXA DE DESCARGA NA COR BRANCA</t>
  </si>
  <si>
    <t>8.1.4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</si>
  <si>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</si>
  <si>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</si>
  <si>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8.2</t>
  </si>
  <si>
    <t>METAIS</t>
  </si>
  <si>
    <t>8.2.1</t>
  </si>
  <si>
    <t>86912</t>
  </si>
  <si>
    <t>TORNEIRA CROMADA LONGA, DE PAREDE, 1/2" OU 3/4", PARA PIA DE COZINHA,PADRÃO MÉDIO - FORNECIMENTO E INSTALAÇÃO. AF_12/2013</t>
  </si>
  <si>
    <t>8.2.2</t>
  </si>
  <si>
    <t>86915</t>
  </si>
  <si>
    <t>TORNEIRA CROMADA DE MESA, 1/2" OU 3/4", PARA LAVATÓRIO, PADRÃO MÉDIO - FORNECIMENTO E INSTALAÇÃO. AF_12/2013</t>
  </si>
  <si>
    <t>8.2.3</t>
  </si>
  <si>
    <t>90831</t>
  </si>
  <si>
    <t>FECHADURA DE EMBUTIR PARA PORTA DE BANHEIRO, COMPLETA, ACABAMENTO PADRÃO MÉDIO, INCLUSO EXECUÇÃO DE FURO - FORNECIMENTO E INSTALAÇÃO</t>
  </si>
  <si>
    <t>8.2.4</t>
  </si>
  <si>
    <t>91306</t>
  </si>
  <si>
    <t>FECHADURA DE EMBUTIR PARA PORTAS INTERNAS, COMPLETA, ACABAMENTO PADRÃO MÉDIO, COM EXECUÇÃO DE FURO - FORNECIMENTO E INSTALAÇÃO</t>
  </si>
  <si>
    <t>COBERTURA</t>
  </si>
  <si>
    <t>9.1.1</t>
  </si>
  <si>
    <t>REVISAO GERAL DE TELHADOS DE TELHAS CERAMICAS</t>
  </si>
  <si>
    <t>9.1.2</t>
  </si>
  <si>
    <t>RETIRADA DE TELHAS DE CERAMICAS OU DE VIDRO</t>
  </si>
  <si>
    <t>9.1.3</t>
  </si>
  <si>
    <t>RECOLOCACAO DE TELHAS CERAMICAS TIPO PLAN, CONSIDERANDO REAPROVEITAMENTO DE MATERIAL</t>
  </si>
  <si>
    <t>9.1.4</t>
  </si>
  <si>
    <t>40905</t>
  </si>
  <si>
    <t>VERNIZ SINTETICO EM MADEIRA, DUAS DEMAOS</t>
  </si>
  <si>
    <t>9.1.5</t>
  </si>
  <si>
    <t>55960</t>
  </si>
  <si>
    <t>IMUNIZAÇÃO DE MADEIRAMENTO PARA COBERTURA UTILIZANDO CUPINICIDA INCOLOR</t>
  </si>
  <si>
    <t>LIMPEZA E CARGAS MANUAIS</t>
  </si>
  <si>
    <t>10.1</t>
  </si>
  <si>
    <t>9537</t>
  </si>
  <si>
    <t>LIMPEZA FINAL DA OBRA</t>
  </si>
  <si>
    <t>10.2</t>
  </si>
  <si>
    <t>72897</t>
  </si>
  <si>
    <t>CARGA MANUAL DE ENTULHO EM CAMINHAO BASCULANTE 6 M3</t>
  </si>
  <si>
    <t>MOBILIZAÇÃO E DESMOBILIZAÇÃO</t>
  </si>
  <si>
    <t>11.1</t>
  </si>
  <si>
    <t>DESLOCAMENTOS MÉDIOS ACIMA DE 100KM (IDA E VOLTA) A PARTIR DO PÓLO SEDE DO LOTE</t>
  </si>
  <si>
    <t>KM</t>
  </si>
  <si>
    <t>TOTAL GERAL</t>
  </si>
  <si>
    <t>Planilha Orçamentária Analítica/ lote 02</t>
  </si>
  <si>
    <t xml:space="preserve"> 2.1.2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</si>
  <si>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</si>
  <si>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</si>
  <si>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</si>
  <si>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</si>
  <si>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</si>
  <si>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</si>
  <si>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</si>
  <si>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</si>
  <si>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 xml:space="preserve">COBE – PISO  </t>
  </si>
  <si>
    <t>m²</t>
  </si>
  <si>
    <t>Composição Auxiliar</t>
  </si>
  <si>
    <t xml:space="preserve"> 88316 </t>
  </si>
  <si>
    <t>SINAPI</t>
  </si>
  <si>
    <t>SERVENTE COM ENCARGOS COMPLEMENTARES</t>
  </si>
  <si>
    <t>SEDI - SERVIÇOS DIVERSOS</t>
  </si>
  <si>
    <t>H</t>
  </si>
  <si>
    <t xml:space="preserve"> 2.1.3 </t>
  </si>
  <si>
    <t xml:space="preserve"> 2.1.8</t>
  </si>
  <si>
    <t xml:space="preserve"> 2.2.12</t>
  </si>
  <si>
    <t xml:space="preserve">COBE – PAREDES </t>
  </si>
  <si>
    <t xml:space="preserve"> 7.2.8</t>
  </si>
  <si>
    <t>COBE - COBERTURA</t>
  </si>
  <si>
    <t>Insumo</t>
  </si>
  <si>
    <t xml:space="preserve"> 3309 </t>
  </si>
  <si>
    <t>ORSE</t>
  </si>
  <si>
    <t>Abraçadeira em aço inox, tipo "D", 1"</t>
  </si>
  <si>
    <t>Material</t>
  </si>
  <si>
    <t>un</t>
  </si>
  <si>
    <t xml:space="preserve"> 00002696 </t>
  </si>
  <si>
    <t>ENCANADOR OU BOMBEIRO HIDRAULICO</t>
  </si>
  <si>
    <t>Mão de Obra</t>
  </si>
  <si>
    <t xml:space="preserve"> 00006111 </t>
  </si>
  <si>
    <t>SERVENTE DE OBRAS</t>
  </si>
  <si>
    <t xml:space="preserve"> 9.11 </t>
  </si>
  <si>
    <t xml:space="preserve"> 94201 </t>
  </si>
  <si>
    <t>REVISAO GERAL DE TELHADOS DE TELHAS CERÂMICAS</t>
  </si>
  <si>
    <t>TELHADISTA COM ENCARGOS COMPLEMENTARES</t>
  </si>
  <si>
    <t xml:space="preserve"> 9.1.1</t>
  </si>
  <si>
    <t xml:space="preserve"> 88323 </t>
  </si>
  <si>
    <t xml:space="preserve"> 9.1.3</t>
  </si>
  <si>
    <t xml:space="preserve"> 93281 </t>
  </si>
  <si>
    <t>GUINCHO ELÉTRICO DE COLUNA, CAPACIDADE 400 KG, COM MOTO FREIO, MOTOR TRIFÁSICO DE 1,25 CV - CHP DIURNO. AF_03/2016</t>
  </si>
  <si>
    <t>CHOR - CUSTOS HORÁRIOS DE MÁQUINAS E EQUIPAMENTOS</t>
  </si>
  <si>
    <t>CHP</t>
  </si>
  <si>
    <t xml:space="preserve"> 93282 </t>
  </si>
  <si>
    <t>GUINCHO ELÉTRICO DE COLUNA, CAPACIDADE 400 KG, COM MOTO FREIO, MOTOR TRIFÁSICO DE 1,25 CV - CHI DIURNO. AF_03/2016</t>
  </si>
  <si>
    <t>CHI</t>
  </si>
  <si>
    <t xml:space="preserve"> 00007173 </t>
  </si>
  <si>
    <t>TELHA DE BARRO / CERAMICA, NAO ESMALTADA, TIPO COLONIAL, CANAL, PLAN, PAULISTA, COMPRIMENTO DE *44 A 50* CM, RENDIMENTO DE COBERTURA DE *26* TELHAS/M2</t>
  </si>
  <si>
    <t>MIL</t>
  </si>
  <si>
    <t xml:space="preserve"> 11.1</t>
  </si>
  <si>
    <t xml:space="preserve"> 5937 </t>
  </si>
  <si>
    <t>Técnico Nível Médio Sênior - 40h - Rev 02</t>
  </si>
  <si>
    <t>h</t>
  </si>
  <si>
    <t xml:space="preserve"> 00000242 </t>
  </si>
  <si>
    <t>AJUDANTE ESPECIALIZADO</t>
  </si>
  <si>
    <t xml:space="preserve"> 00034782 </t>
  </si>
  <si>
    <t>ENGENHEIRO CIVIL SENIOR</t>
  </si>
  <si>
    <t xml:space="preserve"> 00004222 </t>
  </si>
  <si>
    <t>GASOLINA COMUM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</si>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</sst>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;#,##0.00\ ;\-#\ ;@\ "/>
    <numFmt numFmtId="165" formatCode="[$R$-416]\ #,##0.00;[Red]\-[$R$-416]\ #,##0.00"/>
    <numFmt numFmtId="166" formatCode="&quot;R$ &quot;#,##0.00;[Red]&quot;-R$ &quot;#,##0.00"/>
    <numFmt numFmtId="167" formatCode="[$R$-416]#,##0.00\ ;\-[$R$-416]#,##0.00\ ;[$R$-416]\-#\ ;@\ "/>
    <numFmt numFmtId="168" formatCode="#,##0.0000000"/>
  </numFmts>
  <fonts count="27">
    <font>
      <sz val="11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2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/>
      <i/>
      <u/>
      <sz val="11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Courier New"/>
      <family val="3"/>
      <charset val="1"/>
    </font>
    <font>
      <u/>
      <sz val="11"/>
      <color rgb="FF0000EE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</font>
    <font>
      <sz val="10"/>
      <name val="Arial"/>
      <family val="1"/>
    </font>
    <font>
      <sz val="12"/>
      <color rgb="FF000000"/>
      <name val="Ecofont Vera Sans"/>
      <charset val="1"/>
    </font>
  </fonts>
  <fills count="2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FFFFFF"/>
        <bgColor rgb="FFEFEFEF"/>
      </patternFill>
    </fill>
    <fill>
      <patternFill patternType="solid">
        <fgColor rgb="FFDFF0D8"/>
        <bgColor rgb="FFEFEFEF"/>
      </patternFill>
    </fill>
    <fill>
      <patternFill patternType="solid">
        <fgColor rgb="FF92D050"/>
        <bgColor rgb="FFCCCCCC"/>
      </patternFill>
    </fill>
    <fill>
      <patternFill patternType="solid">
        <fgColor rgb="FFD6D6D6"/>
        <bgColor rgb="FFCCCCCC"/>
      </patternFill>
    </fill>
    <fill>
      <patternFill patternType="solid">
        <fgColor rgb="FF92D050"/>
        <bgColor rgb="FFEFEFEF"/>
      </patternFill>
    </fill>
    <fill>
      <patternFill patternType="solid">
        <fgColor rgb="FF92D050"/>
        <bgColor rgb="FF993366"/>
      </patternFill>
    </fill>
    <fill>
      <patternFill patternType="solid">
        <fgColor theme="9" tint="0.79998168889431442"/>
        <bgColor rgb="FFAFD095"/>
      </patternFill>
    </fill>
    <fill>
      <patternFill patternType="solid">
        <fgColor rgb="FFEFEFEF"/>
      </patternFill>
    </fill>
    <fill>
      <patternFill patternType="solid">
        <fgColor theme="0"/>
        <bgColor rgb="FFAFD095"/>
      </patternFill>
    </fill>
    <fill>
      <patternFill patternType="solid">
        <fgColor theme="9" tint="0.79998168889431442"/>
        <bgColor rgb="FFCCCCCC"/>
      </patternFill>
    </fill>
    <fill>
      <patternFill patternType="solid">
        <fgColor theme="9" tint="0.79998168889431442"/>
        <bgColor rgb="FFDFF0D8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27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>
      <alignment horizontal="center"/>
    </xf>
    <xf numFmtId="0" fontId="9" fillId="0" borderId="0" applyBorder="0" applyProtection="0"/>
    <xf numFmtId="0" fontId="10" fillId="0" borderId="0" applyBorder="0" applyProtection="0"/>
    <xf numFmtId="164" fontId="11" fillId="0" borderId="0" applyBorder="0" applyProtection="0"/>
    <xf numFmtId="0" fontId="12" fillId="8" borderId="0" applyBorder="0" applyProtection="0"/>
    <xf numFmtId="0" fontId="11" fillId="0" borderId="0" applyBorder="0" applyProtection="0"/>
    <xf numFmtId="0" fontId="11" fillId="0" borderId="0" applyBorder="0" applyProtection="0"/>
    <xf numFmtId="0" fontId="13" fillId="8" borderId="1" applyProtection="0"/>
    <xf numFmtId="9" fontId="11" fillId="0" borderId="0" applyBorder="0" applyProtection="0"/>
    <xf numFmtId="0" fontId="14" fillId="0" borderId="0" applyBorder="0" applyProtection="0"/>
    <xf numFmtId="165" fontId="14" fillId="0" borderId="0" applyBorder="0" applyProtection="0"/>
    <xf numFmtId="0" fontId="19" fillId="0" borderId="0" applyBorder="0" applyProtection="0"/>
    <xf numFmtId="0" fontId="19" fillId="0" borderId="0" applyBorder="0" applyProtection="0"/>
    <xf numFmtId="0" fontId="3" fillId="0" borderId="0" applyBorder="0" applyProtection="0"/>
    <xf numFmtId="9" fontId="11" fillId="0" borderId="0" applyBorder="0" applyProtection="0"/>
    <xf numFmtId="164" fontId="11" fillId="0" borderId="0" applyBorder="0" applyProtection="0"/>
    <xf numFmtId="0" fontId="18" fillId="0" borderId="0" applyBorder="0" applyProtection="0"/>
  </cellStyleXfs>
  <cellXfs count="205">
    <xf numFmtId="0" fontId="0" fillId="0" borderId="0" xfId="0"/>
    <xf numFmtId="0" fontId="9" fillId="12" borderId="7" xfId="0" applyFont="1" applyFill="1" applyBorder="1"/>
    <xf numFmtId="4" fontId="16" fillId="9" borderId="8" xfId="0" applyNumberFormat="1" applyFont="1" applyFill="1" applyBorder="1" applyAlignment="1">
      <alignment horizontal="right" vertical="center"/>
    </xf>
    <xf numFmtId="49" fontId="16" fillId="9" borderId="8" xfId="0" applyNumberFormat="1" applyFont="1" applyFill="1" applyBorder="1" applyAlignment="1">
      <alignment horizontal="center" vertical="center"/>
    </xf>
    <xf numFmtId="4" fontId="16" fillId="8" borderId="8" xfId="0" applyNumberFormat="1" applyFont="1" applyFill="1" applyBorder="1" applyAlignment="1">
      <alignment horizontal="left" vertical="center"/>
    </xf>
    <xf numFmtId="4" fontId="16" fillId="10" borderId="8" xfId="0" applyNumberFormat="1" applyFont="1" applyFill="1" applyBorder="1" applyAlignment="1">
      <alignment horizontal="left" vertical="center"/>
    </xf>
    <xf numFmtId="4" fontId="16" fillId="0" borderId="5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4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" fontId="16" fillId="0" borderId="0" xfId="0" applyNumberFormat="1" applyFont="1" applyBorder="1" applyAlignment="1">
      <alignment horizontal="left"/>
    </xf>
    <xf numFmtId="4" fontId="15" fillId="0" borderId="2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49" fontId="16" fillId="0" borderId="3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/>
    </xf>
    <xf numFmtId="4" fontId="16" fillId="0" borderId="0" xfId="0" applyNumberFormat="1" applyFont="1" applyBorder="1" applyAlignment="1">
      <alignment horizontal="center" vertical="center"/>
    </xf>
    <xf numFmtId="4" fontId="16" fillId="0" borderId="4" xfId="0" applyNumberFormat="1" applyFont="1" applyBorder="1" applyAlignment="1">
      <alignment horizontal="center" vertical="center"/>
    </xf>
    <xf numFmtId="0" fontId="16" fillId="0" borderId="0" xfId="0" applyFont="1"/>
    <xf numFmtId="49" fontId="9" fillId="0" borderId="3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/>
    <xf numFmtId="10" fontId="16" fillId="0" borderId="6" xfId="24" applyNumberFormat="1" applyFont="1" applyBorder="1" applyAlignment="1" applyProtection="1">
      <alignment horizontal="center" vertical="center"/>
    </xf>
    <xf numFmtId="49" fontId="16" fillId="9" borderId="7" xfId="0" applyNumberFormat="1" applyFont="1" applyFill="1" applyBorder="1" applyAlignment="1">
      <alignment horizontal="center" vertical="center"/>
    </xf>
    <xf numFmtId="4" fontId="16" fillId="9" borderId="7" xfId="0" applyNumberFormat="1" applyFont="1" applyFill="1" applyBorder="1" applyAlignment="1">
      <alignment horizontal="center" vertical="center" wrapText="1"/>
    </xf>
    <xf numFmtId="4" fontId="16" fillId="9" borderId="7" xfId="0" applyNumberFormat="1" applyFont="1" applyFill="1" applyBorder="1" applyAlignment="1">
      <alignment horizontal="center" vertical="center"/>
    </xf>
    <xf numFmtId="11" fontId="16" fillId="9" borderId="7" xfId="0" applyNumberFormat="1" applyFont="1" applyFill="1" applyBorder="1" applyAlignment="1">
      <alignment horizontal="center" vertical="center" wrapText="1"/>
    </xf>
    <xf numFmtId="49" fontId="16" fillId="9" borderId="8" xfId="0" applyNumberFormat="1" applyFont="1" applyFill="1" applyBorder="1" applyAlignment="1">
      <alignment horizontal="center" vertical="center"/>
    </xf>
    <xf numFmtId="4" fontId="16" fillId="9" borderId="8" xfId="0" applyNumberFormat="1" applyFont="1" applyFill="1" applyBorder="1" applyAlignment="1">
      <alignment vertical="center"/>
    </xf>
    <xf numFmtId="4" fontId="16" fillId="9" borderId="8" xfId="0" applyNumberFormat="1" applyFont="1" applyFill="1" applyBorder="1" applyAlignment="1">
      <alignment horizontal="center" vertical="center"/>
    </xf>
    <xf numFmtId="166" fontId="16" fillId="9" borderId="8" xfId="25" applyNumberFormat="1" applyFont="1" applyFill="1" applyBorder="1" applyAlignment="1" applyProtection="1">
      <alignment horizontal="center" vertical="center"/>
    </xf>
    <xf numFmtId="0" fontId="16" fillId="10" borderId="8" xfId="0" applyFont="1" applyFill="1" applyBorder="1" applyAlignment="1">
      <alignment horizontal="center" vertical="center"/>
    </xf>
    <xf numFmtId="166" fontId="16" fillId="10" borderId="8" xfId="0" applyNumberFormat="1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/>
    <xf numFmtId="4" fontId="9" fillId="0" borderId="8" xfId="0" applyNumberFormat="1" applyFont="1" applyBorder="1" applyAlignment="1">
      <alignment horizontal="center" vertical="center"/>
    </xf>
    <xf numFmtId="166" fontId="9" fillId="0" borderId="8" xfId="0" applyNumberFormat="1" applyFont="1" applyBorder="1" applyAlignment="1">
      <alignment horizontal="center" vertical="center"/>
    </xf>
    <xf numFmtId="4" fontId="16" fillId="10" borderId="8" xfId="0" applyNumberFormat="1" applyFont="1" applyFill="1" applyBorder="1" applyAlignment="1">
      <alignment vertical="center"/>
    </xf>
    <xf numFmtId="4" fontId="16" fillId="10" borderId="8" xfId="0" applyNumberFormat="1" applyFont="1" applyFill="1" applyBorder="1" applyAlignment="1">
      <alignment horizontal="center" vertical="center"/>
    </xf>
    <xf numFmtId="166" fontId="16" fillId="10" borderId="8" xfId="0" applyNumberFormat="1" applyFont="1" applyFill="1" applyBorder="1" applyAlignment="1" applyProtection="1">
      <alignment horizontal="center" vertical="center"/>
      <protection locked="0"/>
    </xf>
    <xf numFmtId="0" fontId="16" fillId="8" borderId="8" xfId="0" applyFont="1" applyFill="1" applyBorder="1" applyAlignment="1">
      <alignment horizontal="center" vertical="center"/>
    </xf>
    <xf numFmtId="4" fontId="16" fillId="8" borderId="8" xfId="0" applyNumberFormat="1" applyFont="1" applyFill="1" applyBorder="1" applyAlignment="1">
      <alignment horizontal="left" vertical="center"/>
    </xf>
    <xf numFmtId="4" fontId="16" fillId="8" borderId="8" xfId="0" applyNumberFormat="1" applyFont="1" applyFill="1" applyBorder="1" applyAlignment="1">
      <alignment horizontal="center" vertical="center"/>
    </xf>
    <xf numFmtId="166" fontId="16" fillId="8" borderId="8" xfId="0" applyNumberFormat="1" applyFont="1" applyFill="1" applyBorder="1" applyAlignment="1" applyProtection="1">
      <alignment horizontal="center" vertical="center"/>
      <protection locked="0"/>
    </xf>
    <xf numFmtId="166" fontId="16" fillId="8" borderId="8" xfId="0" applyNumberFormat="1" applyFont="1" applyFill="1" applyBorder="1" applyAlignment="1">
      <alignment horizontal="center" vertical="center"/>
    </xf>
    <xf numFmtId="4" fontId="9" fillId="0" borderId="8" xfId="0" applyNumberFormat="1" applyFont="1" applyBorder="1" applyAlignment="1">
      <alignment vertical="center" wrapText="1"/>
    </xf>
    <xf numFmtId="166" fontId="9" fillId="11" borderId="8" xfId="0" applyNumberFormat="1" applyFont="1" applyFill="1" applyBorder="1" applyAlignment="1">
      <alignment horizontal="center" vertical="center" wrapText="1"/>
    </xf>
    <xf numFmtId="49" fontId="9" fillId="11" borderId="8" xfId="0" applyNumberFormat="1" applyFont="1" applyFill="1" applyBorder="1" applyAlignment="1">
      <alignment horizontal="center" vertical="center" wrapText="1"/>
    </xf>
    <xf numFmtId="166" fontId="9" fillId="11" borderId="8" xfId="0" applyNumberFormat="1" applyFont="1" applyFill="1" applyBorder="1" applyAlignment="1" applyProtection="1">
      <alignment horizontal="center" vertical="center"/>
      <protection locked="0"/>
    </xf>
    <xf numFmtId="166" fontId="9" fillId="11" borderId="8" xfId="0" applyNumberFormat="1" applyFont="1" applyFill="1" applyBorder="1" applyAlignment="1">
      <alignment horizontal="center" vertical="center"/>
    </xf>
    <xf numFmtId="4" fontId="16" fillId="8" borderId="8" xfId="0" applyNumberFormat="1" applyFont="1" applyFill="1" applyBorder="1" applyAlignment="1">
      <alignment vertical="center"/>
    </xf>
    <xf numFmtId="4" fontId="9" fillId="0" borderId="8" xfId="0" applyNumberFormat="1" applyFont="1" applyBorder="1" applyAlignment="1" applyProtection="1">
      <alignment horizontal="center" vertical="center"/>
      <protection hidden="1"/>
    </xf>
    <xf numFmtId="4" fontId="9" fillId="11" borderId="8" xfId="0" applyNumberFormat="1" applyFont="1" applyFill="1" applyBorder="1" applyAlignment="1">
      <alignment vertical="center" wrapText="1"/>
    </xf>
    <xf numFmtId="0" fontId="9" fillId="0" borderId="8" xfId="0" applyFont="1" applyBorder="1" applyAlignment="1">
      <alignment wrapText="1"/>
    </xf>
    <xf numFmtId="4" fontId="9" fillId="0" borderId="0" xfId="0" applyNumberFormat="1" applyFont="1"/>
    <xf numFmtId="49" fontId="9" fillId="11" borderId="8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11" borderId="8" xfId="0" applyFont="1" applyFill="1" applyBorder="1" applyAlignment="1">
      <alignment horizontal="center" vertical="center"/>
    </xf>
    <xf numFmtId="4" fontId="9" fillId="11" borderId="8" xfId="0" applyNumberFormat="1" applyFont="1" applyFill="1" applyBorder="1" applyAlignment="1">
      <alignment vertical="center"/>
    </xf>
    <xf numFmtId="4" fontId="9" fillId="11" borderId="8" xfId="0" applyNumberFormat="1" applyFont="1" applyFill="1" applyBorder="1" applyAlignment="1">
      <alignment horizontal="center" vertical="center"/>
    </xf>
    <xf numFmtId="0" fontId="9" fillId="11" borderId="0" xfId="0" applyFont="1" applyFill="1"/>
    <xf numFmtId="0" fontId="9" fillId="0" borderId="8" xfId="0" applyFont="1" applyBorder="1" applyAlignment="1">
      <alignment horizontal="center" vertical="center" wrapText="1"/>
    </xf>
    <xf numFmtId="49" fontId="9" fillId="11" borderId="8" xfId="0" applyNumberFormat="1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4" fontId="16" fillId="10" borderId="8" xfId="0" applyNumberFormat="1" applyFont="1" applyFill="1" applyBorder="1" applyAlignment="1" applyProtection="1">
      <alignment horizontal="center" vertical="center"/>
      <protection locked="0"/>
    </xf>
    <xf numFmtId="4" fontId="16" fillId="8" borderId="8" xfId="0" applyNumberFormat="1" applyFont="1" applyFill="1" applyBorder="1" applyAlignment="1" applyProtection="1">
      <alignment horizontal="center" vertical="center"/>
      <protection locked="0"/>
    </xf>
    <xf numFmtId="0" fontId="9" fillId="11" borderId="8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8" xfId="26" applyFont="1" applyBorder="1" applyAlignment="1" applyProtection="1">
      <alignment horizontal="center"/>
    </xf>
    <xf numFmtId="0" fontId="9" fillId="0" borderId="8" xfId="0" applyFont="1" applyBorder="1" applyAlignment="1" applyProtection="1">
      <alignment horizontal="center"/>
    </xf>
    <xf numFmtId="0" fontId="9" fillId="0" borderId="8" xfId="0" applyFont="1" applyBorder="1" applyAlignment="1">
      <alignment horizontal="left" vertical="center" wrapText="1"/>
    </xf>
    <xf numFmtId="49" fontId="9" fillId="9" borderId="8" xfId="0" applyNumberFormat="1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 wrapText="1"/>
    </xf>
    <xf numFmtId="4" fontId="9" fillId="9" borderId="8" xfId="0" applyNumberFormat="1" applyFont="1" applyFill="1" applyBorder="1" applyAlignment="1">
      <alignment horizontal="left" vertical="center" wrapText="1"/>
    </xf>
    <xf numFmtId="166" fontId="16" fillId="9" borderId="8" xfId="0" applyNumberFormat="1" applyFont="1" applyFill="1" applyBorder="1" applyAlignment="1">
      <alignment horizontal="center" vertical="center"/>
    </xf>
    <xf numFmtId="167" fontId="9" fillId="0" borderId="0" xfId="0" applyNumberFormat="1" applyFont="1"/>
    <xf numFmtId="0" fontId="16" fillId="12" borderId="7" xfId="0" applyFont="1" applyFill="1" applyBorder="1" applyAlignment="1">
      <alignment horizontal="center" vertical="center"/>
    </xf>
    <xf numFmtId="49" fontId="9" fillId="14" borderId="8" xfId="0" applyNumberFormat="1" applyFont="1" applyFill="1" applyBorder="1" applyAlignment="1">
      <alignment horizontal="center" vertical="center"/>
    </xf>
    <xf numFmtId="49" fontId="9" fillId="15" borderId="8" xfId="0" applyNumberFormat="1" applyFont="1" applyFill="1" applyBorder="1" applyAlignment="1">
      <alignment horizontal="center" vertical="center" wrapText="1"/>
    </xf>
    <xf numFmtId="4" fontId="9" fillId="14" borderId="8" xfId="0" applyNumberFormat="1" applyFont="1" applyFill="1" applyBorder="1" applyAlignment="1">
      <alignment vertical="center" wrapText="1"/>
    </xf>
    <xf numFmtId="4" fontId="9" fillId="14" borderId="8" xfId="0" applyNumberFormat="1" applyFont="1" applyFill="1" applyBorder="1" applyAlignment="1">
      <alignment horizontal="center" vertical="center"/>
    </xf>
    <xf numFmtId="166" fontId="9" fillId="15" borderId="8" xfId="0" applyNumberFormat="1" applyFont="1" applyFill="1" applyBorder="1" applyAlignment="1" applyProtection="1">
      <alignment horizontal="center" vertical="center"/>
      <protection locked="0"/>
    </xf>
    <xf numFmtId="166" fontId="9" fillId="14" borderId="8" xfId="0" applyNumberFormat="1" applyFont="1" applyFill="1" applyBorder="1" applyAlignment="1">
      <alignment horizontal="center" vertical="center"/>
    </xf>
    <xf numFmtId="4" fontId="9" fillId="14" borderId="8" xfId="0" applyNumberFormat="1" applyFont="1" applyFill="1" applyBorder="1" applyAlignment="1" applyProtection="1">
      <alignment horizontal="center" vertical="center"/>
      <protection hidden="1"/>
    </xf>
    <xf numFmtId="49" fontId="9" fillId="14" borderId="8" xfId="0" applyNumberFormat="1" applyFont="1" applyFill="1" applyBorder="1" applyAlignment="1">
      <alignment horizontal="center" vertical="center" wrapText="1"/>
    </xf>
    <xf numFmtId="0" fontId="9" fillId="14" borderId="8" xfId="0" applyFont="1" applyFill="1" applyBorder="1" applyAlignment="1" applyProtection="1">
      <alignment horizontal="left" vertical="center" wrapText="1"/>
    </xf>
    <xf numFmtId="49" fontId="9" fillId="15" borderId="8" xfId="0" applyNumberFormat="1" applyFont="1" applyFill="1" applyBorder="1" applyAlignment="1">
      <alignment horizontal="center" vertical="center"/>
    </xf>
    <xf numFmtId="0" fontId="9" fillId="15" borderId="8" xfId="0" applyFont="1" applyFill="1" applyBorder="1" applyAlignment="1">
      <alignment horizontal="left" vertical="center" wrapText="1"/>
    </xf>
    <xf numFmtId="4" fontId="9" fillId="15" borderId="8" xfId="0" applyNumberFormat="1" applyFont="1" applyFill="1" applyBorder="1" applyAlignment="1">
      <alignment horizontal="center" vertical="center"/>
    </xf>
    <xf numFmtId="166" fontId="9" fillId="15" borderId="8" xfId="0" applyNumberFormat="1" applyFont="1" applyFill="1" applyBorder="1" applyAlignment="1">
      <alignment horizontal="center" vertical="center"/>
    </xf>
    <xf numFmtId="0" fontId="20" fillId="16" borderId="0" xfId="15" applyFont="1" applyFill="1" applyAlignment="1">
      <alignment horizontal="left" vertical="top" wrapText="1"/>
    </xf>
    <xf numFmtId="0" fontId="20" fillId="16" borderId="0" xfId="15" applyFont="1" applyFill="1" applyBorder="1" applyAlignment="1">
      <alignment horizontal="left" vertical="top" wrapText="1"/>
    </xf>
    <xf numFmtId="0" fontId="21" fillId="16" borderId="0" xfId="15" applyFont="1" applyFill="1" applyAlignment="1">
      <alignment horizontal="left" vertical="top" wrapText="1"/>
    </xf>
    <xf numFmtId="0" fontId="21" fillId="16" borderId="0" xfId="15" applyFont="1" applyFill="1" applyBorder="1" applyAlignment="1">
      <alignment horizontal="left" vertical="top" wrapText="1"/>
    </xf>
    <xf numFmtId="0" fontId="20" fillId="16" borderId="0" xfId="15" applyFont="1" applyFill="1" applyBorder="1" applyAlignment="1">
      <alignment horizontal="center" wrapText="1"/>
    </xf>
    <xf numFmtId="0" fontId="22" fillId="16" borderId="0" xfId="15" applyFont="1" applyFill="1" applyAlignment="1">
      <alignment horizontal="right" vertical="top" wrapText="1"/>
    </xf>
    <xf numFmtId="4" fontId="22" fillId="16" borderId="0" xfId="15" applyNumberFormat="1" applyFont="1" applyFill="1" applyAlignment="1">
      <alignment horizontal="right" vertical="top" wrapText="1"/>
    </xf>
    <xf numFmtId="0" fontId="21" fillId="16" borderId="0" xfId="15" applyFont="1" applyFill="1" applyAlignment="1">
      <alignment horizontal="right" vertical="top" wrapText="1"/>
    </xf>
    <xf numFmtId="168" fontId="21" fillId="16" borderId="0" xfId="15" applyNumberFormat="1" applyFont="1" applyFill="1" applyAlignment="1">
      <alignment horizontal="right" vertical="top" wrapText="1"/>
    </xf>
    <xf numFmtId="4" fontId="21" fillId="16" borderId="0" xfId="15" applyNumberFormat="1" applyFont="1" applyFill="1" applyAlignment="1">
      <alignment horizontal="right" vertical="top" wrapText="1"/>
    </xf>
    <xf numFmtId="0" fontId="23" fillId="17" borderId="9" xfId="15" applyFont="1" applyFill="1" applyBorder="1" applyAlignment="1">
      <alignment horizontal="left" vertical="top" wrapText="1"/>
    </xf>
    <xf numFmtId="0" fontId="20" fillId="16" borderId="8" xfId="15" applyFont="1" applyFill="1" applyBorder="1" applyAlignment="1">
      <alignment horizontal="left" vertical="top" wrapText="1"/>
    </xf>
    <xf numFmtId="0" fontId="20" fillId="16" borderId="8" xfId="15" applyFont="1" applyFill="1" applyBorder="1" applyAlignment="1">
      <alignment horizontal="right" vertical="top" wrapText="1"/>
    </xf>
    <xf numFmtId="0" fontId="20" fillId="16" borderId="8" xfId="15" applyFont="1" applyFill="1" applyBorder="1" applyAlignment="1">
      <alignment horizontal="left" vertical="top" wrapText="1"/>
    </xf>
    <xf numFmtId="0" fontId="20" fillId="16" borderId="8" xfId="15" applyFont="1" applyFill="1" applyBorder="1" applyAlignment="1">
      <alignment horizontal="center" vertical="top" wrapText="1"/>
    </xf>
    <xf numFmtId="49" fontId="9" fillId="18" borderId="8" xfId="0" applyNumberFormat="1" applyFont="1" applyFill="1" applyBorder="1" applyAlignment="1">
      <alignment horizontal="center" vertical="center" wrapText="1"/>
    </xf>
    <xf numFmtId="0" fontId="23" fillId="18" borderId="8" xfId="15" applyFont="1" applyFill="1" applyBorder="1" applyAlignment="1">
      <alignment horizontal="right" vertical="top" wrapText="1"/>
    </xf>
    <xf numFmtId="0" fontId="23" fillId="18" borderId="8" xfId="15" applyFont="1" applyFill="1" applyBorder="1" applyAlignment="1">
      <alignment horizontal="left" vertical="top" wrapText="1"/>
    </xf>
    <xf numFmtId="0" fontId="24" fillId="18" borderId="8" xfId="15" applyFont="1" applyFill="1" applyBorder="1" applyAlignment="1">
      <alignment horizontal="left" vertical="top" wrapText="1"/>
    </xf>
    <xf numFmtId="0" fontId="23" fillId="18" borderId="8" xfId="15" applyFont="1" applyFill="1" applyBorder="1" applyAlignment="1">
      <alignment horizontal="left" vertical="top" wrapText="1"/>
    </xf>
    <xf numFmtId="0" fontId="23" fillId="18" borderId="8" xfId="15" applyFont="1" applyFill="1" applyBorder="1" applyAlignment="1">
      <alignment horizontal="center" vertical="top" wrapText="1"/>
    </xf>
    <xf numFmtId="168" fontId="23" fillId="18" borderId="8" xfId="15" applyNumberFormat="1" applyFont="1" applyFill="1" applyBorder="1" applyAlignment="1">
      <alignment horizontal="right" vertical="top" wrapText="1"/>
    </xf>
    <xf numFmtId="4" fontId="23" fillId="18" borderId="8" xfId="15" applyNumberFormat="1" applyFont="1" applyFill="1" applyBorder="1" applyAlignment="1">
      <alignment horizontal="right" vertical="top" wrapText="1"/>
    </xf>
    <xf numFmtId="0" fontId="22" fillId="19" borderId="8" xfId="15" applyFont="1" applyFill="1" applyBorder="1" applyAlignment="1">
      <alignment horizontal="left" vertical="top" wrapText="1"/>
    </xf>
    <xf numFmtId="0" fontId="22" fillId="19" borderId="8" xfId="15" applyFont="1" applyFill="1" applyBorder="1" applyAlignment="1">
      <alignment horizontal="right" vertical="top" wrapText="1"/>
    </xf>
    <xf numFmtId="0" fontId="22" fillId="19" borderId="8" xfId="15" applyFont="1" applyFill="1" applyBorder="1" applyAlignment="1">
      <alignment horizontal="left" vertical="top" wrapText="1"/>
    </xf>
    <xf numFmtId="0" fontId="22" fillId="19" borderId="8" xfId="15" applyFont="1" applyFill="1" applyBorder="1" applyAlignment="1">
      <alignment horizontal="center" vertical="top" wrapText="1"/>
    </xf>
    <xf numFmtId="168" fontId="0" fillId="19" borderId="8" xfId="15" applyNumberFormat="1" applyFont="1" applyFill="1" applyBorder="1" applyAlignment="1">
      <alignment horizontal="right" vertical="top" wrapText="1"/>
    </xf>
    <xf numFmtId="4" fontId="22" fillId="19" borderId="8" xfId="15" applyNumberFormat="1" applyFont="1" applyFill="1" applyBorder="1" applyAlignment="1">
      <alignment horizontal="right" vertical="top" wrapText="1"/>
    </xf>
    <xf numFmtId="0" fontId="24" fillId="20" borderId="8" xfId="15" applyFont="1" applyFill="1" applyBorder="1" applyAlignment="1">
      <alignment horizontal="left" vertical="top" wrapText="1"/>
    </xf>
    <xf numFmtId="0" fontId="23" fillId="20" borderId="8" xfId="15" applyFont="1" applyFill="1" applyBorder="1" applyAlignment="1">
      <alignment horizontal="right" vertical="top" wrapText="1"/>
    </xf>
    <xf numFmtId="0" fontId="23" fillId="20" borderId="8" xfId="15" applyFont="1" applyFill="1" applyBorder="1" applyAlignment="1">
      <alignment horizontal="left" vertical="top" wrapText="1"/>
    </xf>
    <xf numFmtId="0" fontId="23" fillId="20" borderId="8" xfId="15" applyFont="1" applyFill="1" applyBorder="1" applyAlignment="1">
      <alignment horizontal="left" vertical="top" wrapText="1"/>
    </xf>
    <xf numFmtId="0" fontId="23" fillId="20" borderId="8" xfId="15" applyFont="1" applyFill="1" applyBorder="1" applyAlignment="1">
      <alignment horizontal="center" vertical="top" wrapText="1"/>
    </xf>
    <xf numFmtId="168" fontId="23" fillId="20" borderId="8" xfId="15" applyNumberFormat="1" applyFont="1" applyFill="1" applyBorder="1" applyAlignment="1">
      <alignment horizontal="right" vertical="top" wrapText="1"/>
    </xf>
    <xf numFmtId="4" fontId="23" fillId="20" borderId="8" xfId="15" applyNumberFormat="1" applyFont="1" applyFill="1" applyBorder="1" applyAlignment="1">
      <alignment horizontal="right" vertical="top" wrapText="1"/>
    </xf>
    <xf numFmtId="0" fontId="20" fillId="21" borderId="8" xfId="15" applyFont="1" applyFill="1" applyBorder="1" applyAlignment="1">
      <alignment horizontal="left" vertical="top" wrapText="1"/>
    </xf>
    <xf numFmtId="0" fontId="20" fillId="21" borderId="8" xfId="15" applyFont="1" applyFill="1" applyBorder="1" applyAlignment="1">
      <alignment horizontal="right" vertical="top" wrapText="1"/>
    </xf>
    <xf numFmtId="0" fontId="20" fillId="21" borderId="8" xfId="15" applyFont="1" applyFill="1" applyBorder="1" applyAlignment="1">
      <alignment horizontal="left" vertical="top" wrapText="1"/>
    </xf>
    <xf numFmtId="0" fontId="20" fillId="21" borderId="8" xfId="15" applyFont="1" applyFill="1" applyBorder="1" applyAlignment="1">
      <alignment horizontal="center" vertical="top" wrapText="1"/>
    </xf>
    <xf numFmtId="0" fontId="24" fillId="21" borderId="8" xfId="15" applyFont="1" applyFill="1" applyBorder="1" applyAlignment="1">
      <alignment horizontal="left" vertical="top" wrapText="1"/>
    </xf>
    <xf numFmtId="0" fontId="23" fillId="21" borderId="8" xfId="15" applyFont="1" applyFill="1" applyBorder="1" applyAlignment="1">
      <alignment horizontal="right" vertical="top" wrapText="1"/>
    </xf>
    <xf numFmtId="0" fontId="23" fillId="21" borderId="8" xfId="15" applyFont="1" applyFill="1" applyBorder="1" applyAlignment="1">
      <alignment horizontal="left" vertical="top" wrapText="1"/>
    </xf>
    <xf numFmtId="0" fontId="23" fillId="21" borderId="8" xfId="15" applyFont="1" applyFill="1" applyBorder="1" applyAlignment="1">
      <alignment horizontal="left" vertical="top" wrapText="1"/>
    </xf>
    <xf numFmtId="0" fontId="23" fillId="21" borderId="8" xfId="15" applyFont="1" applyFill="1" applyBorder="1" applyAlignment="1">
      <alignment horizontal="center" vertical="top" wrapText="1"/>
    </xf>
    <xf numFmtId="168" fontId="23" fillId="21" borderId="8" xfId="15" applyNumberFormat="1" applyFont="1" applyFill="1" applyBorder="1" applyAlignment="1">
      <alignment horizontal="right" vertical="top" wrapText="1"/>
    </xf>
    <xf numFmtId="4" fontId="23" fillId="21" borderId="8" xfId="15" applyNumberFormat="1" applyFont="1" applyFill="1" applyBorder="1" applyAlignment="1">
      <alignment horizontal="right" vertical="top" wrapText="1"/>
    </xf>
    <xf numFmtId="0" fontId="25" fillId="13" borderId="8" xfId="16" applyFont="1" applyFill="1" applyBorder="1" applyAlignment="1">
      <alignment horizontal="left" vertical="top" wrapText="1"/>
    </xf>
    <xf numFmtId="0" fontId="25" fillId="13" borderId="8" xfId="16" applyFont="1" applyFill="1" applyBorder="1" applyAlignment="1">
      <alignment horizontal="right" vertical="top" wrapText="1"/>
    </xf>
    <xf numFmtId="0" fontId="25" fillId="13" borderId="8" xfId="16" applyFont="1" applyFill="1" applyBorder="1" applyAlignment="1">
      <alignment horizontal="left" vertical="top" wrapText="1"/>
    </xf>
    <xf numFmtId="0" fontId="25" fillId="13" borderId="8" xfId="16" applyFont="1" applyFill="1" applyBorder="1" applyAlignment="1">
      <alignment horizontal="center" vertical="top" wrapText="1"/>
    </xf>
    <xf numFmtId="168" fontId="25" fillId="13" borderId="8" xfId="16" applyNumberFormat="1" applyFont="1" applyFill="1" applyBorder="1" applyAlignment="1">
      <alignment horizontal="right" vertical="top" wrapText="1"/>
    </xf>
    <xf numFmtId="4" fontId="25" fillId="13" borderId="8" xfId="16" applyNumberFormat="1" applyFont="1" applyFill="1" applyBorder="1" applyAlignment="1">
      <alignment horizontal="right" vertical="top" wrapText="1"/>
    </xf>
    <xf numFmtId="4" fontId="22" fillId="22" borderId="10" xfId="15" applyNumberFormat="1" applyFont="1" applyFill="1" applyBorder="1" applyAlignment="1">
      <alignment horizontal="right" vertical="top" wrapText="1"/>
    </xf>
    <xf numFmtId="0" fontId="25" fillId="23" borderId="0" xfId="16" applyFont="1" applyFill="1" applyBorder="1" applyAlignment="1">
      <alignment horizontal="left" vertical="top" wrapText="1"/>
    </xf>
    <xf numFmtId="0" fontId="25" fillId="23" borderId="0" xfId="16" applyFont="1" applyFill="1" applyBorder="1" applyAlignment="1">
      <alignment horizontal="right" vertical="top" wrapText="1"/>
    </xf>
    <xf numFmtId="0" fontId="25" fillId="23" borderId="0" xfId="16" applyFont="1" applyFill="1" applyBorder="1" applyAlignment="1">
      <alignment horizontal="center" vertical="top" wrapText="1"/>
    </xf>
    <xf numFmtId="168" fontId="25" fillId="23" borderId="0" xfId="16" applyNumberFormat="1" applyFont="1" applyFill="1" applyBorder="1" applyAlignment="1">
      <alignment horizontal="right" vertical="top" wrapText="1"/>
    </xf>
    <xf numFmtId="4" fontId="25" fillId="23" borderId="0" xfId="16" applyNumberFormat="1" applyFont="1" applyFill="1" applyBorder="1" applyAlignment="1">
      <alignment horizontal="right" vertical="top" wrapText="1"/>
    </xf>
    <xf numFmtId="4" fontId="22" fillId="24" borderId="0" xfId="15" applyNumberFormat="1" applyFont="1" applyFill="1" applyBorder="1" applyAlignment="1">
      <alignment horizontal="right" vertical="top" wrapText="1"/>
    </xf>
    <xf numFmtId="0" fontId="20" fillId="20" borderId="11" xfId="15" applyFont="1" applyFill="1" applyBorder="1" applyAlignment="1">
      <alignment horizontal="left" vertical="top" wrapText="1"/>
    </xf>
    <xf numFmtId="0" fontId="20" fillId="20" borderId="11" xfId="15" applyFont="1" applyFill="1" applyBorder="1" applyAlignment="1">
      <alignment horizontal="right" vertical="top" wrapText="1"/>
    </xf>
    <xf numFmtId="0" fontId="20" fillId="20" borderId="11" xfId="15" applyFont="1" applyFill="1" applyBorder="1" applyAlignment="1">
      <alignment horizontal="left" vertical="top" wrapText="1"/>
    </xf>
    <xf numFmtId="0" fontId="20" fillId="20" borderId="11" xfId="15" applyFont="1" applyFill="1" applyBorder="1" applyAlignment="1">
      <alignment horizontal="center" vertical="top" wrapText="1"/>
    </xf>
    <xf numFmtId="49" fontId="9" fillId="25" borderId="8" xfId="0" applyNumberFormat="1" applyFont="1" applyFill="1" applyBorder="1" applyAlignment="1">
      <alignment horizontal="center" vertical="center" wrapText="1"/>
    </xf>
    <xf numFmtId="0" fontId="23" fillId="25" borderId="8" xfId="15" applyFont="1" applyFill="1" applyBorder="1" applyAlignment="1">
      <alignment horizontal="right" vertical="top" wrapText="1"/>
    </xf>
    <xf numFmtId="0" fontId="23" fillId="25" borderId="8" xfId="15" applyFont="1" applyFill="1" applyBorder="1" applyAlignment="1">
      <alignment horizontal="left" vertical="top" wrapText="1"/>
    </xf>
    <xf numFmtId="0" fontId="26" fillId="25" borderId="8" xfId="15" applyFont="1" applyFill="1" applyBorder="1" applyAlignment="1">
      <alignment horizontal="left" vertical="top" wrapText="1"/>
    </xf>
    <xf numFmtId="0" fontId="23" fillId="25" borderId="8" xfId="15" applyFont="1" applyFill="1" applyBorder="1" applyAlignment="1">
      <alignment horizontal="left" vertical="top" wrapText="1"/>
    </xf>
    <xf numFmtId="0" fontId="23" fillId="25" borderId="8" xfId="15" applyFont="1" applyFill="1" applyBorder="1" applyAlignment="1">
      <alignment horizontal="center" vertical="top" wrapText="1"/>
    </xf>
    <xf numFmtId="168" fontId="23" fillId="25" borderId="8" xfId="15" applyNumberFormat="1" applyFont="1" applyFill="1" applyBorder="1" applyAlignment="1">
      <alignment horizontal="right" vertical="top" wrapText="1"/>
    </xf>
    <xf numFmtId="4" fontId="23" fillId="25" borderId="8" xfId="15" applyNumberFormat="1" applyFont="1" applyFill="1" applyBorder="1" applyAlignment="1">
      <alignment horizontal="right" vertical="top" wrapText="1"/>
    </xf>
    <xf numFmtId="168" fontId="22" fillId="19" borderId="8" xfId="15" applyNumberFormat="1" applyFont="1" applyFill="1" applyBorder="1" applyAlignment="1">
      <alignment horizontal="right" vertical="top" wrapText="1"/>
    </xf>
    <xf numFmtId="0" fontId="0" fillId="0" borderId="8" xfId="0" applyBorder="1"/>
    <xf numFmtId="0" fontId="20" fillId="20" borderId="12" xfId="15" applyFont="1" applyFill="1" applyBorder="1" applyAlignment="1">
      <alignment horizontal="left" vertical="top" wrapText="1"/>
    </xf>
    <xf numFmtId="0" fontId="20" fillId="20" borderId="12" xfId="15" applyFont="1" applyFill="1" applyBorder="1" applyAlignment="1">
      <alignment horizontal="right" vertical="top" wrapText="1"/>
    </xf>
    <xf numFmtId="0" fontId="20" fillId="20" borderId="12" xfId="15" applyFont="1" applyFill="1" applyBorder="1" applyAlignment="1">
      <alignment horizontal="left" vertical="top" wrapText="1"/>
    </xf>
    <xf numFmtId="0" fontId="20" fillId="20" borderId="12" xfId="15" applyFont="1" applyFill="1" applyBorder="1" applyAlignment="1">
      <alignment horizontal="center" vertical="top" wrapText="1"/>
    </xf>
    <xf numFmtId="0" fontId="24" fillId="17" borderId="10" xfId="15" applyFont="1" applyFill="1" applyBorder="1" applyAlignment="1">
      <alignment vertical="top" wrapText="1"/>
    </xf>
    <xf numFmtId="0" fontId="23" fillId="17" borderId="10" xfId="15" applyFont="1" applyFill="1" applyBorder="1" applyAlignment="1">
      <alignment vertical="top" wrapText="1"/>
    </xf>
    <xf numFmtId="0" fontId="23" fillId="17" borderId="10" xfId="15" applyFont="1" applyFill="1" applyBorder="1" applyAlignment="1">
      <alignment vertical="top" wrapText="1"/>
    </xf>
    <xf numFmtId="168" fontId="23" fillId="17" borderId="10" xfId="15" applyNumberFormat="1" applyFont="1" applyFill="1" applyBorder="1" applyAlignment="1">
      <alignment vertical="top" wrapText="1"/>
    </xf>
    <xf numFmtId="4" fontId="23" fillId="17" borderId="10" xfId="15" applyNumberFormat="1" applyFont="1" applyFill="1" applyBorder="1" applyAlignment="1">
      <alignment vertical="top" wrapText="1"/>
    </xf>
    <xf numFmtId="0" fontId="22" fillId="19" borderId="10" xfId="15" applyFont="1" applyFill="1" applyBorder="1" applyAlignment="1">
      <alignment vertical="top" wrapText="1"/>
    </xf>
    <xf numFmtId="0" fontId="22" fillId="19" borderId="10" xfId="15" applyFont="1" applyFill="1" applyBorder="1" applyAlignment="1">
      <alignment vertical="top" wrapText="1"/>
    </xf>
    <xf numFmtId="168" fontId="22" fillId="19" borderId="10" xfId="15" applyNumberFormat="1" applyFont="1" applyFill="1" applyBorder="1" applyAlignment="1">
      <alignment vertical="top" wrapText="1"/>
    </xf>
    <xf numFmtId="4" fontId="22" fillId="19" borderId="10" xfId="15" applyNumberFormat="1" applyFont="1" applyFill="1" applyBorder="1" applyAlignment="1">
      <alignment vertical="top" wrapText="1"/>
    </xf>
    <xf numFmtId="168" fontId="0" fillId="19" borderId="10" xfId="15" applyNumberFormat="1" applyFont="1" applyFill="1" applyBorder="1" applyAlignment="1">
      <alignment vertical="top" wrapText="1"/>
    </xf>
    <xf numFmtId="0" fontId="20" fillId="20" borderId="8" xfId="15" applyFont="1" applyFill="1" applyBorder="1" applyAlignment="1">
      <alignment horizontal="left" vertical="top" wrapText="1"/>
    </xf>
    <xf numFmtId="0" fontId="20" fillId="20" borderId="8" xfId="15" applyFont="1" applyFill="1" applyBorder="1" applyAlignment="1">
      <alignment horizontal="right" vertical="top" wrapText="1"/>
    </xf>
    <xf numFmtId="0" fontId="20" fillId="20" borderId="8" xfId="15" applyFont="1" applyFill="1" applyBorder="1" applyAlignment="1">
      <alignment horizontal="left" vertical="top" wrapText="1"/>
    </xf>
    <xf numFmtId="0" fontId="20" fillId="20" borderId="8" xfId="15" applyFont="1" applyFill="1" applyBorder="1" applyAlignment="1">
      <alignment horizontal="center" vertical="top" wrapText="1"/>
    </xf>
    <xf numFmtId="0" fontId="22" fillId="25" borderId="8" xfId="15" applyFont="1" applyFill="1" applyBorder="1" applyAlignment="1">
      <alignment horizontal="left" vertical="top" wrapText="1"/>
    </xf>
    <xf numFmtId="0" fontId="22" fillId="25" borderId="8" xfId="15" applyFont="1" applyFill="1" applyBorder="1" applyAlignment="1">
      <alignment horizontal="right" vertical="top" wrapText="1"/>
    </xf>
    <xf numFmtId="0" fontId="22" fillId="25" borderId="8" xfId="15" applyFont="1" applyFill="1" applyBorder="1" applyAlignment="1">
      <alignment horizontal="left" vertical="top" wrapText="1"/>
    </xf>
    <xf numFmtId="0" fontId="22" fillId="25" borderId="8" xfId="15" applyFont="1" applyFill="1" applyBorder="1" applyAlignment="1">
      <alignment horizontal="center" vertical="top" wrapText="1"/>
    </xf>
    <xf numFmtId="168" fontId="22" fillId="25" borderId="8" xfId="15" applyNumberFormat="1" applyFont="1" applyFill="1" applyBorder="1" applyAlignment="1">
      <alignment horizontal="right" vertical="top" wrapText="1"/>
    </xf>
    <xf numFmtId="4" fontId="22" fillId="25" borderId="8" xfId="15" applyNumberFormat="1" applyFont="1" applyFill="1" applyBorder="1" applyAlignment="1">
      <alignment horizontal="right" vertical="top" wrapText="1"/>
    </xf>
    <xf numFmtId="0" fontId="22" fillId="26" borderId="8" xfId="15" applyFont="1" applyFill="1" applyBorder="1" applyAlignment="1">
      <alignment horizontal="left" vertical="top" wrapText="1"/>
    </xf>
    <xf numFmtId="0" fontId="22" fillId="26" borderId="8" xfId="15" applyFont="1" applyFill="1" applyBorder="1" applyAlignment="1">
      <alignment horizontal="right" vertical="top" wrapText="1"/>
    </xf>
    <xf numFmtId="0" fontId="22" fillId="26" borderId="8" xfId="15" applyFont="1" applyFill="1" applyBorder="1" applyAlignment="1">
      <alignment horizontal="left" vertical="top" wrapText="1"/>
    </xf>
    <xf numFmtId="0" fontId="22" fillId="26" borderId="8" xfId="15" applyFont="1" applyFill="1" applyBorder="1" applyAlignment="1">
      <alignment horizontal="center" vertical="top" wrapText="1"/>
    </xf>
    <xf numFmtId="168" fontId="22" fillId="26" borderId="8" xfId="15" applyNumberFormat="1" applyFont="1" applyFill="1" applyBorder="1" applyAlignment="1">
      <alignment horizontal="right" vertical="top" wrapText="1"/>
    </xf>
    <xf numFmtId="4" fontId="22" fillId="26" borderId="8" xfId="15" applyNumberFormat="1" applyFont="1" applyFill="1" applyBorder="1" applyAlignment="1">
      <alignment horizontal="right" vertical="top" wrapText="1"/>
    </xf>
    <xf numFmtId="0" fontId="20" fillId="16" borderId="11" xfId="15" applyFont="1" applyFill="1" applyBorder="1" applyAlignment="1">
      <alignment horizontal="left" vertical="top" wrapText="1"/>
    </xf>
    <xf numFmtId="0" fontId="20" fillId="16" borderId="11" xfId="15" applyFont="1" applyFill="1" applyBorder="1" applyAlignment="1">
      <alignment horizontal="right" vertical="top" wrapText="1"/>
    </xf>
    <xf numFmtId="0" fontId="20" fillId="16" borderId="11" xfId="15" applyFont="1" applyFill="1" applyBorder="1" applyAlignment="1">
      <alignment horizontal="left" vertical="top" wrapText="1"/>
    </xf>
    <xf numFmtId="0" fontId="20" fillId="16" borderId="11" xfId="15" applyFont="1" applyFill="1" applyBorder="1" applyAlignment="1">
      <alignment horizontal="center" vertical="top" wrapText="1"/>
    </xf>
    <xf numFmtId="4" fontId="22" fillId="22" borderId="8" xfId="15" applyNumberFormat="1" applyFont="1" applyFill="1" applyBorder="1" applyAlignment="1">
      <alignment horizontal="right" vertical="top" wrapText="1"/>
    </xf>
  </cellXfs>
  <cellStyles count="27">
    <cellStyle name="Accent 1 5" xfId="1"/>
    <cellStyle name="Accent 2 6" xfId="2"/>
    <cellStyle name="Accent 3 7" xfId="3"/>
    <cellStyle name="Accent 4" xfId="4"/>
    <cellStyle name="Bad 8" xfId="5"/>
    <cellStyle name="Error 9" xfId="6"/>
    <cellStyle name="Excel Built-in Currency 10" xfId="25"/>
    <cellStyle name="Excel Built-in Percent 11" xfId="24"/>
    <cellStyle name="Footnote 12" xfId="7"/>
    <cellStyle name="Good 13" xfId="8"/>
    <cellStyle name="Heading 1 15" xfId="9"/>
    <cellStyle name="Heading 14" xfId="10"/>
    <cellStyle name="Heading 2 16" xfId="11"/>
    <cellStyle name="Heading 3" xfId="12"/>
    <cellStyle name="Hiperlink" xfId="26"/>
    <cellStyle name="Moeda 2" xfId="13"/>
    <cellStyle name="Neutral 17" xfId="14"/>
    <cellStyle name="Normal" xfId="0" builtinId="0"/>
    <cellStyle name="Normal 2" xfId="15"/>
    <cellStyle name="Normal 3" xfId="16"/>
    <cellStyle name="Note 18" xfId="17"/>
    <cellStyle name="Porcentagem 2" xfId="18"/>
    <cellStyle name="Result 19" xfId="19"/>
    <cellStyle name="Resultado2" xfId="20"/>
    <cellStyle name="Status 20" xfId="21"/>
    <cellStyle name="Text 21" xfId="22"/>
    <cellStyle name="Warning 22" xfId="2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2"/>
  <sheetViews>
    <sheetView view="pageBreakPreview" topLeftCell="A142" zoomScale="85" zoomScaleNormal="100" zoomScalePageLayoutView="85" workbookViewId="0">
      <selection activeCell="E152" sqref="E152"/>
    </sheetView>
  </sheetViews>
  <sheetFormatPr defaultColWidth="7.8984375" defaultRowHeight="15"/>
  <cols>
    <col min="1" max="1" width="12.59765625" style="13" customWidth="1"/>
    <col min="2" max="2" width="17.59765625" style="14" customWidth="1"/>
    <col min="3" max="3" width="94.5" style="14" customWidth="1"/>
    <col min="4" max="4" width="6.09765625" style="15" customWidth="1"/>
    <col min="5" max="5" width="10.59765625" style="13" customWidth="1"/>
    <col min="6" max="6" width="11.59765625" style="13" customWidth="1"/>
    <col min="7" max="7" width="19.09765625" style="13" customWidth="1"/>
    <col min="8" max="8" width="21.19921875" style="13" customWidth="1"/>
    <col min="9" max="9" width="14.8984375" style="14" customWidth="1"/>
    <col min="10" max="10" width="12.3984375" style="14" customWidth="1"/>
    <col min="11" max="1023" width="7.8984375" style="14"/>
    <col min="1024" max="1024" width="9" style="14" customWidth="1"/>
  </cols>
  <sheetData>
    <row r="1" spans="1:8" ht="45" customHeight="1">
      <c r="A1" s="12" t="s">
        <v>0</v>
      </c>
      <c r="B1" s="12"/>
      <c r="C1" s="12"/>
      <c r="D1" s="12"/>
      <c r="E1" s="12"/>
      <c r="F1" s="12"/>
      <c r="G1" s="12"/>
      <c r="H1" s="12"/>
    </row>
    <row r="2" spans="1:8" s="20" customFormat="1" ht="15.6">
      <c r="A2" s="16" t="s">
        <v>1</v>
      </c>
      <c r="B2" s="11" t="s">
        <v>2</v>
      </c>
      <c r="C2" s="11"/>
      <c r="D2" s="17"/>
      <c r="E2" s="18"/>
      <c r="F2" s="18"/>
      <c r="G2" s="18"/>
      <c r="H2" s="19"/>
    </row>
    <row r="3" spans="1:8">
      <c r="A3" s="21" t="s">
        <v>3</v>
      </c>
      <c r="B3" s="10" t="s">
        <v>4</v>
      </c>
      <c r="C3" s="10"/>
      <c r="D3" s="22"/>
      <c r="E3" s="23"/>
      <c r="F3" s="23"/>
      <c r="G3" s="23"/>
      <c r="H3" s="24"/>
    </row>
    <row r="4" spans="1:8" s="20" customFormat="1" ht="15.6">
      <c r="A4" s="16" t="s">
        <v>1</v>
      </c>
      <c r="B4" s="11" t="s">
        <v>5</v>
      </c>
      <c r="C4" s="11"/>
      <c r="D4" s="17"/>
      <c r="E4" s="18"/>
      <c r="F4" s="18"/>
      <c r="G4" s="18"/>
      <c r="H4" s="19"/>
    </row>
    <row r="5" spans="1:8">
      <c r="A5" s="21" t="s">
        <v>3</v>
      </c>
      <c r="B5" s="25" t="s">
        <v>6</v>
      </c>
      <c r="C5" s="25"/>
      <c r="D5" s="22"/>
      <c r="E5" s="23"/>
      <c r="F5" s="23"/>
      <c r="G5" s="23"/>
      <c r="H5" s="24"/>
    </row>
    <row r="6" spans="1:8" s="20" customFormat="1" ht="15.6">
      <c r="A6" s="16" t="s">
        <v>1</v>
      </c>
      <c r="B6" s="11" t="s">
        <v>7</v>
      </c>
      <c r="C6" s="11"/>
      <c r="D6" s="17"/>
      <c r="E6" s="18"/>
      <c r="F6" s="18"/>
      <c r="G6" s="18"/>
      <c r="H6" s="19"/>
    </row>
    <row r="7" spans="1:8">
      <c r="A7" s="21" t="s">
        <v>3</v>
      </c>
      <c r="B7" s="9" t="s">
        <v>8</v>
      </c>
      <c r="C7" s="9"/>
      <c r="D7" s="22"/>
      <c r="E7" s="23"/>
      <c r="F7" s="23"/>
      <c r="G7" s="23"/>
      <c r="H7" s="24"/>
    </row>
    <row r="8" spans="1:8" s="20" customFormat="1" ht="15.6">
      <c r="A8" s="16" t="s">
        <v>1</v>
      </c>
      <c r="B8" s="11" t="s">
        <v>9</v>
      </c>
      <c r="C8" s="11"/>
      <c r="D8" s="17"/>
      <c r="E8" s="18"/>
      <c r="F8" s="18"/>
      <c r="G8" s="18"/>
      <c r="H8" s="19"/>
    </row>
    <row r="9" spans="1:8">
      <c r="A9" s="21" t="s">
        <v>3</v>
      </c>
      <c r="B9" s="9" t="s">
        <v>10</v>
      </c>
      <c r="C9" s="9"/>
      <c r="D9" s="22"/>
      <c r="E9" s="23"/>
      <c r="F9" s="23"/>
      <c r="G9" s="23"/>
      <c r="H9" s="24"/>
    </row>
    <row r="10" spans="1:8" s="20" customFormat="1" ht="15.6">
      <c r="A10" s="16" t="s">
        <v>1</v>
      </c>
      <c r="B10" s="8" t="s">
        <v>11</v>
      </c>
      <c r="C10" s="8"/>
      <c r="D10" s="17"/>
      <c r="E10" s="18"/>
      <c r="F10" s="18"/>
      <c r="G10" s="18"/>
      <c r="H10" s="19"/>
    </row>
    <row r="11" spans="1:8">
      <c r="A11" s="21" t="s">
        <v>3</v>
      </c>
      <c r="B11" s="9" t="s">
        <v>12</v>
      </c>
      <c r="C11" s="9"/>
      <c r="D11" s="22"/>
      <c r="E11" s="23"/>
      <c r="F11" s="23"/>
      <c r="G11" s="23"/>
      <c r="H11" s="24"/>
    </row>
    <row r="12" spans="1:8" s="20" customFormat="1" ht="15.6">
      <c r="A12" s="16" t="s">
        <v>1</v>
      </c>
      <c r="B12" s="11" t="s">
        <v>13</v>
      </c>
      <c r="C12" s="11"/>
      <c r="D12" s="17"/>
      <c r="E12" s="18"/>
      <c r="F12" s="18"/>
      <c r="G12" s="18"/>
      <c r="H12" s="19"/>
    </row>
    <row r="13" spans="1:8">
      <c r="A13" s="21" t="s">
        <v>3</v>
      </c>
      <c r="B13" s="9" t="s">
        <v>14</v>
      </c>
      <c r="C13" s="9"/>
      <c r="D13" s="22"/>
      <c r="E13" s="23"/>
      <c r="F13" s="23"/>
      <c r="G13" s="23"/>
      <c r="H13" s="24"/>
    </row>
    <row r="14" spans="1:8" s="20" customFormat="1" ht="15.6">
      <c r="A14" s="16" t="s">
        <v>1</v>
      </c>
      <c r="B14" s="11" t="s">
        <v>15</v>
      </c>
      <c r="C14" s="11"/>
      <c r="D14" s="17"/>
      <c r="E14" s="18"/>
      <c r="F14" s="18"/>
      <c r="G14" s="18"/>
      <c r="H14" s="19"/>
    </row>
    <row r="15" spans="1:8">
      <c r="A15" s="21" t="s">
        <v>3</v>
      </c>
      <c r="B15" s="9" t="s">
        <v>16</v>
      </c>
      <c r="C15" s="9"/>
      <c r="D15" s="22"/>
      <c r="E15" s="23"/>
      <c r="F15" s="23"/>
      <c r="G15" s="23"/>
      <c r="H15" s="24"/>
    </row>
    <row r="16" spans="1:8" s="20" customFormat="1" ht="15.6">
      <c r="A16" s="16" t="s">
        <v>1</v>
      </c>
      <c r="B16" s="11" t="s">
        <v>17</v>
      </c>
      <c r="C16" s="11"/>
      <c r="D16" s="17"/>
      <c r="E16" s="18"/>
      <c r="F16" s="18"/>
      <c r="G16" s="18"/>
      <c r="H16" s="19"/>
    </row>
    <row r="17" spans="1:10">
      <c r="A17" s="21" t="s">
        <v>3</v>
      </c>
      <c r="B17" s="10" t="s">
        <v>18</v>
      </c>
      <c r="C17" s="10"/>
      <c r="D17" s="22"/>
      <c r="E17" s="23"/>
      <c r="F17" s="23"/>
      <c r="G17" s="23"/>
      <c r="H17" s="24"/>
    </row>
    <row r="18" spans="1:10" s="20" customFormat="1" ht="15.6">
      <c r="A18" s="16" t="s">
        <v>1</v>
      </c>
      <c r="B18" s="11" t="s">
        <v>19</v>
      </c>
      <c r="C18" s="11"/>
      <c r="D18" s="17"/>
      <c r="E18" s="18"/>
      <c r="F18" s="18"/>
      <c r="G18" s="18"/>
      <c r="H18" s="19"/>
    </row>
    <row r="19" spans="1:10">
      <c r="A19" s="21" t="s">
        <v>3</v>
      </c>
      <c r="B19" s="9" t="s">
        <v>20</v>
      </c>
      <c r="C19" s="9"/>
      <c r="D19" s="22"/>
      <c r="E19" s="23"/>
      <c r="F19" s="23"/>
      <c r="G19" s="23"/>
      <c r="H19" s="24"/>
    </row>
    <row r="20" spans="1:10" ht="15.6">
      <c r="A20" s="21"/>
      <c r="B20" s="7"/>
      <c r="C20" s="7"/>
      <c r="D20" s="22"/>
      <c r="E20" s="23"/>
      <c r="F20" s="23"/>
      <c r="G20" s="23"/>
      <c r="H20" s="24"/>
    </row>
    <row r="21" spans="1:10" ht="15.6">
      <c r="A21" s="6" t="s">
        <v>21</v>
      </c>
      <c r="B21" s="6"/>
      <c r="C21" s="6"/>
      <c r="D21" s="6"/>
      <c r="E21" s="6"/>
      <c r="F21" s="6"/>
      <c r="G21" s="6"/>
      <c r="H21" s="26">
        <v>0.22470000000000001</v>
      </c>
    </row>
    <row r="22" spans="1:10" ht="46.8">
      <c r="A22" s="27" t="s">
        <v>22</v>
      </c>
      <c r="B22" s="28" t="s">
        <v>23</v>
      </c>
      <c r="C22" s="29" t="s">
        <v>24</v>
      </c>
      <c r="D22" s="29" t="s">
        <v>25</v>
      </c>
      <c r="E22" s="30" t="s">
        <v>26</v>
      </c>
      <c r="F22" s="29" t="s">
        <v>27</v>
      </c>
      <c r="G22" s="29" t="s">
        <v>28</v>
      </c>
      <c r="H22" s="28" t="s">
        <v>29</v>
      </c>
      <c r="I22" s="20"/>
      <c r="J22" s="20"/>
    </row>
    <row r="23" spans="1:10" ht="15.6">
      <c r="A23" s="31"/>
      <c r="B23" s="32"/>
      <c r="C23" s="32"/>
      <c r="D23" s="32"/>
      <c r="E23" s="33" t="s">
        <v>30</v>
      </c>
      <c r="F23" s="33"/>
      <c r="G23" s="33"/>
      <c r="H23" s="34">
        <f>H161</f>
        <v>446524.89632477</v>
      </c>
    </row>
    <row r="24" spans="1:10" ht="15.6">
      <c r="A24" s="35" t="s">
        <v>31</v>
      </c>
      <c r="B24" s="5" t="s">
        <v>32</v>
      </c>
      <c r="C24" s="5"/>
      <c r="D24" s="5"/>
      <c r="E24" s="5"/>
      <c r="F24" s="5"/>
      <c r="G24" s="36">
        <f>SUM(G25:G25)</f>
        <v>2105.46</v>
      </c>
      <c r="H24" s="36">
        <f t="shared" ref="H24:H55" si="0">G24*(1+$H$21)</f>
        <v>2578.5568619999999</v>
      </c>
    </row>
    <row r="25" spans="1:10">
      <c r="A25" s="37" t="s">
        <v>33</v>
      </c>
      <c r="B25" s="38" t="s">
        <v>34</v>
      </c>
      <c r="C25" s="39" t="s">
        <v>35</v>
      </c>
      <c r="D25" s="40" t="s">
        <v>25</v>
      </c>
      <c r="E25" s="40">
        <v>9</v>
      </c>
      <c r="F25" s="41">
        <v>233.94</v>
      </c>
      <c r="G25" s="41">
        <f>E25*F25</f>
        <v>2105.46</v>
      </c>
      <c r="H25" s="41">
        <f t="shared" si="0"/>
        <v>2578.5568619999999</v>
      </c>
    </row>
    <row r="26" spans="1:10" ht="15.6">
      <c r="A26" s="35" t="s">
        <v>36</v>
      </c>
      <c r="B26" s="42" t="s">
        <v>37</v>
      </c>
      <c r="C26" s="42"/>
      <c r="D26" s="42"/>
      <c r="E26" s="43"/>
      <c r="F26" s="44"/>
      <c r="G26" s="36">
        <f>SUM(G27,G39)</f>
        <v>140738.6298</v>
      </c>
      <c r="H26" s="36">
        <f t="shared" si="0"/>
        <v>172362.59991605999</v>
      </c>
    </row>
    <row r="27" spans="1:10" ht="15.6">
      <c r="A27" s="45" t="s">
        <v>38</v>
      </c>
      <c r="B27" s="46" t="s">
        <v>39</v>
      </c>
      <c r="C27" s="46"/>
      <c r="D27" s="46"/>
      <c r="E27" s="47"/>
      <c r="F27" s="48"/>
      <c r="G27" s="49">
        <f>SUM(G28:G38)</f>
        <v>35226.607299999996</v>
      </c>
      <c r="H27" s="49">
        <f t="shared" si="0"/>
        <v>43142.025960309991</v>
      </c>
    </row>
    <row r="28" spans="1:10">
      <c r="A28" s="37" t="s">
        <v>40</v>
      </c>
      <c r="B28" s="38" t="s">
        <v>41</v>
      </c>
      <c r="C28" s="50" t="s">
        <v>42</v>
      </c>
      <c r="D28" s="40" t="s">
        <v>43</v>
      </c>
      <c r="E28" s="40">
        <f>414.05+44.6+55+63.1+55+122.94</f>
        <v>754.69</v>
      </c>
      <c r="F28" s="51">
        <v>13.83</v>
      </c>
      <c r="G28" s="41">
        <f>E28*F28</f>
        <v>10437.362700000001</v>
      </c>
      <c r="H28" s="41">
        <f t="shared" si="0"/>
        <v>12782.63809869</v>
      </c>
    </row>
    <row r="29" spans="1:10" ht="30">
      <c r="A29" s="83" t="s">
        <v>44</v>
      </c>
      <c r="B29" s="84" t="s">
        <v>45</v>
      </c>
      <c r="C29" s="85" t="s">
        <v>46</v>
      </c>
      <c r="D29" s="86" t="s">
        <v>43</v>
      </c>
      <c r="E29" s="86">
        <f>89.82+10+15+15+25+20</f>
        <v>174.82</v>
      </c>
      <c r="F29" s="87">
        <v>3.69</v>
      </c>
      <c r="G29" s="88">
        <f>E29*F29</f>
        <v>645.08579999999995</v>
      </c>
      <c r="H29" s="88">
        <f t="shared" si="0"/>
        <v>790.03657925999983</v>
      </c>
    </row>
    <row r="30" spans="1:10" ht="30">
      <c r="A30" s="83" t="s">
        <v>47</v>
      </c>
      <c r="B30" s="84" t="s">
        <v>45</v>
      </c>
      <c r="C30" s="85" t="s">
        <v>48</v>
      </c>
      <c r="D30" s="86" t="s">
        <v>43</v>
      </c>
      <c r="E30" s="86">
        <f>71.55+10+15+15+15+25</f>
        <v>151.55000000000001</v>
      </c>
      <c r="F30" s="87">
        <v>5.2</v>
      </c>
      <c r="G30" s="88">
        <f>E30*F30</f>
        <v>788.06000000000006</v>
      </c>
      <c r="H30" s="88">
        <f t="shared" si="0"/>
        <v>965.13708199999996</v>
      </c>
    </row>
    <row r="31" spans="1:10" ht="30">
      <c r="A31" s="37" t="s">
        <v>49</v>
      </c>
      <c r="B31" s="38" t="s">
        <v>50</v>
      </c>
      <c r="C31" s="50" t="s">
        <v>51</v>
      </c>
      <c r="D31" s="40" t="s">
        <v>43</v>
      </c>
      <c r="E31" s="40">
        <f>71.55+10+15+15+15+25</f>
        <v>151.55000000000001</v>
      </c>
      <c r="F31" s="51">
        <v>54.88</v>
      </c>
      <c r="G31" s="41">
        <f>E31*F31</f>
        <v>8317.0640000000003</v>
      </c>
      <c r="H31" s="41">
        <f t="shared" si="0"/>
        <v>10185.9082808</v>
      </c>
    </row>
    <row r="32" spans="1:10" ht="30">
      <c r="A32" s="37" t="s">
        <v>52</v>
      </c>
      <c r="B32" s="38" t="s">
        <v>53</v>
      </c>
      <c r="C32" s="50" t="s">
        <v>54</v>
      </c>
      <c r="D32" s="40" t="s">
        <v>43</v>
      </c>
      <c r="E32" s="40">
        <f>71.55+10+15+15+15+25</f>
        <v>151.55000000000001</v>
      </c>
      <c r="F32" s="51">
        <v>21.39</v>
      </c>
      <c r="G32" s="41">
        <f>F32*E32</f>
        <v>3241.6545000000006</v>
      </c>
      <c r="H32" s="41">
        <f t="shared" si="0"/>
        <v>3970.0542661500003</v>
      </c>
    </row>
    <row r="33" spans="1:8">
      <c r="A33" s="37" t="s">
        <v>55</v>
      </c>
      <c r="B33" s="38" t="s">
        <v>56</v>
      </c>
      <c r="C33" s="50" t="s">
        <v>57</v>
      </c>
      <c r="D33" s="40" t="s">
        <v>43</v>
      </c>
      <c r="E33" s="40">
        <f>61.55+5+10+15+15+10</f>
        <v>116.55</v>
      </c>
      <c r="F33" s="51">
        <v>12.07</v>
      </c>
      <c r="G33" s="41">
        <f t="shared" ref="G33:G38" si="1">E33*F33</f>
        <v>1406.7584999999999</v>
      </c>
      <c r="H33" s="41">
        <f t="shared" si="0"/>
        <v>1722.8571349499998</v>
      </c>
    </row>
    <row r="34" spans="1:8">
      <c r="A34" s="37" t="s">
        <v>58</v>
      </c>
      <c r="B34" s="38" t="s">
        <v>59</v>
      </c>
      <c r="C34" s="50" t="s">
        <v>60</v>
      </c>
      <c r="D34" s="40" t="s">
        <v>61</v>
      </c>
      <c r="E34" s="40">
        <f>8+10</f>
        <v>18</v>
      </c>
      <c r="F34" s="51">
        <v>221.1</v>
      </c>
      <c r="G34" s="41">
        <f t="shared" si="1"/>
        <v>3979.7999999999997</v>
      </c>
      <c r="H34" s="41">
        <f t="shared" si="0"/>
        <v>4874.0610599999991</v>
      </c>
    </row>
    <row r="35" spans="1:8" ht="30">
      <c r="A35" s="83" t="s">
        <v>62</v>
      </c>
      <c r="B35" s="84" t="s">
        <v>45</v>
      </c>
      <c r="C35" s="85" t="s">
        <v>63</v>
      </c>
      <c r="D35" s="86" t="s">
        <v>61</v>
      </c>
      <c r="E35" s="86">
        <f>18</f>
        <v>18</v>
      </c>
      <c r="F35" s="87">
        <v>11.2</v>
      </c>
      <c r="G35" s="88">
        <f t="shared" si="1"/>
        <v>201.6</v>
      </c>
      <c r="H35" s="88">
        <f t="shared" si="0"/>
        <v>246.89951999999997</v>
      </c>
    </row>
    <row r="36" spans="1:8" ht="30">
      <c r="A36" s="37" t="s">
        <v>64</v>
      </c>
      <c r="B36" s="38" t="s">
        <v>65</v>
      </c>
      <c r="C36" s="50" t="s">
        <v>66</v>
      </c>
      <c r="D36" s="40" t="s">
        <v>67</v>
      </c>
      <c r="E36" s="40">
        <f>63.04+15+15+20+15</f>
        <v>128.04</v>
      </c>
      <c r="F36" s="51">
        <v>7.22</v>
      </c>
      <c r="G36" s="41">
        <f t="shared" si="1"/>
        <v>924.44879999999989</v>
      </c>
      <c r="H36" s="41">
        <f t="shared" si="0"/>
        <v>1132.1724453599998</v>
      </c>
    </row>
    <row r="37" spans="1:8">
      <c r="A37" s="37" t="s">
        <v>68</v>
      </c>
      <c r="B37" s="38" t="s">
        <v>69</v>
      </c>
      <c r="C37" s="50" t="s">
        <v>70</v>
      </c>
      <c r="D37" s="40" t="s">
        <v>67</v>
      </c>
      <c r="E37" s="40">
        <f>19.15+3+5+6+3+15</f>
        <v>51.15</v>
      </c>
      <c r="F37" s="54">
        <v>65.02</v>
      </c>
      <c r="G37" s="41">
        <f t="shared" si="1"/>
        <v>3325.7729999999997</v>
      </c>
      <c r="H37" s="41">
        <f t="shared" si="0"/>
        <v>4073.0741930999993</v>
      </c>
    </row>
    <row r="38" spans="1:8" ht="30.6">
      <c r="A38" s="37" t="s">
        <v>71</v>
      </c>
      <c r="B38" s="38" t="s">
        <v>72</v>
      </c>
      <c r="C38" s="50" t="s">
        <v>73</v>
      </c>
      <c r="D38" s="40" t="s">
        <v>67</v>
      </c>
      <c r="E38" s="40">
        <f>90+10</f>
        <v>100</v>
      </c>
      <c r="F38" s="51">
        <v>19.59</v>
      </c>
      <c r="G38" s="41">
        <f t="shared" si="1"/>
        <v>1959</v>
      </c>
      <c r="H38" s="41">
        <f t="shared" si="0"/>
        <v>2399.1872999999996</v>
      </c>
    </row>
    <row r="39" spans="1:8" ht="15.6">
      <c r="A39" s="45" t="s">
        <v>74</v>
      </c>
      <c r="B39" s="55" t="s">
        <v>75</v>
      </c>
      <c r="C39" s="55"/>
      <c r="D39" s="55"/>
      <c r="E39" s="47"/>
      <c r="F39" s="48"/>
      <c r="G39" s="49">
        <f>SUM(G40:G53)</f>
        <v>105512.02250000001</v>
      </c>
      <c r="H39" s="49">
        <f t="shared" si="0"/>
        <v>129220.57395574999</v>
      </c>
    </row>
    <row r="40" spans="1:8">
      <c r="A40" s="37" t="s">
        <v>76</v>
      </c>
      <c r="B40" s="38" t="s">
        <v>77</v>
      </c>
      <c r="C40" s="50" t="s">
        <v>78</v>
      </c>
      <c r="D40" s="40" t="s">
        <v>61</v>
      </c>
      <c r="E40" s="56">
        <f>13.24+2.4+3.56+4.27+3+3</f>
        <v>29.47</v>
      </c>
      <c r="F40" s="51">
        <v>37.6</v>
      </c>
      <c r="G40" s="41">
        <f t="shared" ref="G40:G53" si="2">E40*F40</f>
        <v>1108.0719999999999</v>
      </c>
      <c r="H40" s="41">
        <f t="shared" si="0"/>
        <v>1357.0557783999998</v>
      </c>
    </row>
    <row r="41" spans="1:8">
      <c r="A41" s="37" t="s">
        <v>79</v>
      </c>
      <c r="B41" s="38" t="s">
        <v>80</v>
      </c>
      <c r="C41" s="50" t="s">
        <v>81</v>
      </c>
      <c r="D41" s="40" t="s">
        <v>43</v>
      </c>
      <c r="E41" s="56">
        <f>300.38+63.86+95.04+87.63+58.98+81.74</f>
        <v>687.63000000000011</v>
      </c>
      <c r="F41" s="51">
        <v>7.52</v>
      </c>
      <c r="G41" s="41">
        <f t="shared" si="2"/>
        <v>5170.9776000000002</v>
      </c>
      <c r="H41" s="41">
        <f t="shared" si="0"/>
        <v>6332.8962667199994</v>
      </c>
    </row>
    <row r="42" spans="1:8" ht="45">
      <c r="A42" s="37" t="s">
        <v>82</v>
      </c>
      <c r="B42" s="52" t="s">
        <v>83</v>
      </c>
      <c r="C42" s="57" t="s">
        <v>84</v>
      </c>
      <c r="D42" s="40" t="s">
        <v>43</v>
      </c>
      <c r="E42" s="56">
        <f>85.27+15+20+20+15+15</f>
        <v>170.26999999999998</v>
      </c>
      <c r="F42" s="51">
        <v>52.1</v>
      </c>
      <c r="G42" s="41">
        <f t="shared" si="2"/>
        <v>8871.0669999999991</v>
      </c>
      <c r="H42" s="41">
        <f t="shared" si="0"/>
        <v>10864.395754899999</v>
      </c>
    </row>
    <row r="43" spans="1:8" ht="45">
      <c r="A43" s="37" t="s">
        <v>85</v>
      </c>
      <c r="B43" s="38" t="s">
        <v>86</v>
      </c>
      <c r="C43" s="50" t="s">
        <v>87</v>
      </c>
      <c r="D43" s="40" t="s">
        <v>43</v>
      </c>
      <c r="E43" s="56">
        <f>170.55+30+40+40+88.98+30</f>
        <v>399.53000000000003</v>
      </c>
      <c r="F43" s="51">
        <v>3.46</v>
      </c>
      <c r="G43" s="41">
        <f t="shared" si="2"/>
        <v>1382.3738000000001</v>
      </c>
      <c r="H43" s="41">
        <f t="shared" si="0"/>
        <v>1692.9931928599999</v>
      </c>
    </row>
    <row r="44" spans="1:8" ht="60">
      <c r="A44" s="37" t="s">
        <v>88</v>
      </c>
      <c r="B44" s="38" t="s">
        <v>89</v>
      </c>
      <c r="C44" s="58" t="s">
        <v>90</v>
      </c>
      <c r="D44" s="40" t="s">
        <v>43</v>
      </c>
      <c r="E44" s="56">
        <f>170.55+30+40+40+88.98+30</f>
        <v>399.53000000000003</v>
      </c>
      <c r="F44" s="51">
        <v>30.08</v>
      </c>
      <c r="G44" s="41">
        <f t="shared" si="2"/>
        <v>12017.8624</v>
      </c>
      <c r="H44" s="41">
        <f t="shared" si="0"/>
        <v>14718.276081279999</v>
      </c>
    </row>
    <row r="45" spans="1:8">
      <c r="A45" s="37" t="s">
        <v>91</v>
      </c>
      <c r="B45" s="52" t="s">
        <v>92</v>
      </c>
      <c r="C45" s="57" t="s">
        <v>93</v>
      </c>
      <c r="D45" s="40" t="s">
        <v>43</v>
      </c>
      <c r="E45" s="56">
        <f>221.55+30+40+40+88.98+30</f>
        <v>450.53000000000003</v>
      </c>
      <c r="F45" s="51">
        <v>1.94</v>
      </c>
      <c r="G45" s="41">
        <f t="shared" si="2"/>
        <v>874.02820000000008</v>
      </c>
      <c r="H45" s="41">
        <f t="shared" si="0"/>
        <v>1070.4223365400001</v>
      </c>
    </row>
    <row r="46" spans="1:8">
      <c r="A46" s="37" t="s">
        <v>94</v>
      </c>
      <c r="B46" s="38" t="s">
        <v>95</v>
      </c>
      <c r="C46" s="50" t="s">
        <v>96</v>
      </c>
      <c r="D46" s="40" t="s">
        <v>43</v>
      </c>
      <c r="E46" s="56">
        <f>414.22+65.25+65.5+65.5+88.98+30+85</f>
        <v>814.45</v>
      </c>
      <c r="F46" s="54">
        <v>11.99</v>
      </c>
      <c r="G46" s="41">
        <f t="shared" si="2"/>
        <v>9765.2555000000011</v>
      </c>
      <c r="H46" s="41">
        <f t="shared" si="0"/>
        <v>11959.50841085</v>
      </c>
    </row>
    <row r="47" spans="1:8">
      <c r="A47" s="37" t="s">
        <v>97</v>
      </c>
      <c r="B47" s="38" t="s">
        <v>98</v>
      </c>
      <c r="C47" s="50" t="s">
        <v>99</v>
      </c>
      <c r="D47" s="40" t="s">
        <v>43</v>
      </c>
      <c r="E47" s="56">
        <f>1716.55+320+475.23+569.2+295+408.7</f>
        <v>3784.6799999999994</v>
      </c>
      <c r="F47" s="53">
        <v>7.9</v>
      </c>
      <c r="G47" s="41">
        <f t="shared" si="2"/>
        <v>29898.971999999998</v>
      </c>
      <c r="H47" s="41">
        <f t="shared" si="0"/>
        <v>36617.271008399992</v>
      </c>
    </row>
    <row r="48" spans="1:8" ht="30">
      <c r="A48" s="37" t="s">
        <v>100</v>
      </c>
      <c r="B48" s="38" t="s">
        <v>101</v>
      </c>
      <c r="C48" s="50" t="s">
        <v>102</v>
      </c>
      <c r="D48" s="40" t="s">
        <v>43</v>
      </c>
      <c r="E48" s="56">
        <f>88.2+12.3+13.73+13.32+15+10</f>
        <v>152.55000000000001</v>
      </c>
      <c r="F48" s="51">
        <v>15.98</v>
      </c>
      <c r="G48" s="41">
        <f t="shared" si="2"/>
        <v>2437.7490000000003</v>
      </c>
      <c r="H48" s="41">
        <f t="shared" si="0"/>
        <v>2985.5112002999999</v>
      </c>
    </row>
    <row r="49" spans="1:9">
      <c r="A49" s="37" t="s">
        <v>103</v>
      </c>
      <c r="B49" s="38" t="s">
        <v>104</v>
      </c>
      <c r="C49" s="50" t="s">
        <v>105</v>
      </c>
      <c r="D49" s="40" t="s">
        <v>43</v>
      </c>
      <c r="E49" s="56">
        <f>587.73+81.8+91.5+88.8+70+115.21</f>
        <v>1035.04</v>
      </c>
      <c r="F49" s="51">
        <v>13.04</v>
      </c>
      <c r="G49" s="41">
        <f t="shared" si="2"/>
        <v>13496.921599999998</v>
      </c>
      <c r="H49" s="41">
        <f t="shared" si="0"/>
        <v>16529.679883519995</v>
      </c>
      <c r="I49" s="59"/>
    </row>
    <row r="50" spans="1:9">
      <c r="A50" s="37" t="s">
        <v>106</v>
      </c>
      <c r="B50" s="52" t="s">
        <v>107</v>
      </c>
      <c r="C50" s="50" t="s">
        <v>108</v>
      </c>
      <c r="D50" s="40" t="s">
        <v>43</v>
      </c>
      <c r="E50" s="56">
        <f>608.8+27.4+155.44+131.4+150+84.5</f>
        <v>1157.54</v>
      </c>
      <c r="F50" s="54">
        <v>7.01</v>
      </c>
      <c r="G50" s="41">
        <f t="shared" si="2"/>
        <v>8114.3553999999995</v>
      </c>
      <c r="H50" s="41">
        <f t="shared" si="0"/>
        <v>9937.6510583799991</v>
      </c>
    </row>
    <row r="51" spans="1:9" ht="30">
      <c r="A51" s="83" t="s">
        <v>109</v>
      </c>
      <c r="B51" s="84" t="s">
        <v>45</v>
      </c>
      <c r="C51" s="85" t="s">
        <v>110</v>
      </c>
      <c r="D51" s="86" t="s">
        <v>43</v>
      </c>
      <c r="E51" s="89">
        <f>54.8+15+5+15+5+15</f>
        <v>109.8</v>
      </c>
      <c r="F51" s="87">
        <v>9.75</v>
      </c>
      <c r="G51" s="88">
        <f t="shared" si="2"/>
        <v>1070.55</v>
      </c>
      <c r="H51" s="88">
        <f t="shared" si="0"/>
        <v>1311.1025849999999</v>
      </c>
    </row>
    <row r="52" spans="1:9" ht="45">
      <c r="A52" s="37" t="s">
        <v>111</v>
      </c>
      <c r="B52" s="52" t="s">
        <v>112</v>
      </c>
      <c r="C52" s="60" t="s">
        <v>113</v>
      </c>
      <c r="D52" s="40" t="s">
        <v>43</v>
      </c>
      <c r="E52" s="56">
        <f>54.8+15+5+15+5+15</f>
        <v>109.8</v>
      </c>
      <c r="F52" s="51">
        <v>63.81</v>
      </c>
      <c r="G52" s="41">
        <f t="shared" si="2"/>
        <v>7006.3379999999997</v>
      </c>
      <c r="H52" s="41">
        <f t="shared" si="0"/>
        <v>8580.6621485999985</v>
      </c>
    </row>
    <row r="53" spans="1:9" ht="30">
      <c r="A53" s="37" t="s">
        <v>114</v>
      </c>
      <c r="B53" s="52" t="s">
        <v>115</v>
      </c>
      <c r="C53" s="61" t="s">
        <v>116</v>
      </c>
      <c r="D53" s="40" t="s">
        <v>67</v>
      </c>
      <c r="E53" s="56">
        <f>200+50+50+50+50+50</f>
        <v>450</v>
      </c>
      <c r="F53" s="54">
        <v>9.5500000000000007</v>
      </c>
      <c r="G53" s="41">
        <f t="shared" si="2"/>
        <v>4297.5</v>
      </c>
      <c r="H53" s="41">
        <f t="shared" si="0"/>
        <v>5263.1482499999993</v>
      </c>
    </row>
    <row r="54" spans="1:9" ht="15.6">
      <c r="A54" s="35" t="s">
        <v>117</v>
      </c>
      <c r="B54" s="42" t="s">
        <v>118</v>
      </c>
      <c r="C54" s="42"/>
      <c r="D54" s="42"/>
      <c r="E54" s="43"/>
      <c r="F54" s="44"/>
      <c r="G54" s="36">
        <f>SUM(G55)</f>
        <v>11796.1824</v>
      </c>
      <c r="H54" s="36">
        <f t="shared" si="0"/>
        <v>14446.784585279998</v>
      </c>
    </row>
    <row r="55" spans="1:9" ht="15.6">
      <c r="A55" s="45" t="s">
        <v>119</v>
      </c>
      <c r="B55" s="55" t="s">
        <v>118</v>
      </c>
      <c r="C55" s="55"/>
      <c r="D55" s="55"/>
      <c r="E55" s="47"/>
      <c r="F55" s="48"/>
      <c r="G55" s="49">
        <f>SUM(G56:G63)</f>
        <v>11796.1824</v>
      </c>
      <c r="H55" s="41">
        <f t="shared" si="0"/>
        <v>14446.784585279998</v>
      </c>
    </row>
    <row r="56" spans="1:9" s="65" customFormat="1">
      <c r="A56" s="62" t="s">
        <v>120</v>
      </c>
      <c r="B56" s="62" t="s">
        <v>121</v>
      </c>
      <c r="C56" s="63" t="s">
        <v>122</v>
      </c>
      <c r="D56" s="64" t="s">
        <v>43</v>
      </c>
      <c r="E56" s="64">
        <f>23.75</f>
        <v>23.75</v>
      </c>
      <c r="F56" s="51">
        <v>6.88</v>
      </c>
      <c r="G56" s="54">
        <f>F56*E56</f>
        <v>163.4</v>
      </c>
      <c r="H56" s="41">
        <f t="shared" ref="H56:H87" si="3">G56*(1+$H$21)</f>
        <v>200.11597999999998</v>
      </c>
    </row>
    <row r="57" spans="1:9" s="65" customFormat="1" ht="30">
      <c r="A57" s="62" t="s">
        <v>123</v>
      </c>
      <c r="B57" s="38" t="s">
        <v>124</v>
      </c>
      <c r="C57" s="50" t="s">
        <v>125</v>
      </c>
      <c r="D57" s="40" t="s">
        <v>43</v>
      </c>
      <c r="E57" s="40">
        <f>23.75</f>
        <v>23.75</v>
      </c>
      <c r="F57" s="51">
        <v>82.14</v>
      </c>
      <c r="G57" s="41">
        <f>E57*F57</f>
        <v>1950.825</v>
      </c>
      <c r="H57" s="41">
        <f t="shared" si="3"/>
        <v>2389.1753774999997</v>
      </c>
    </row>
    <row r="58" spans="1:9" s="65" customFormat="1">
      <c r="A58" s="62" t="s">
        <v>126</v>
      </c>
      <c r="B58" s="38" t="s">
        <v>127</v>
      </c>
      <c r="C58" s="50" t="s">
        <v>128</v>
      </c>
      <c r="D58" s="40" t="s">
        <v>43</v>
      </c>
      <c r="E58" s="40">
        <f>40.5+132.03</f>
        <v>172.53</v>
      </c>
      <c r="F58" s="51">
        <v>21.46</v>
      </c>
      <c r="G58" s="41">
        <f>E58*F58</f>
        <v>3702.4938000000002</v>
      </c>
      <c r="H58" s="41">
        <f t="shared" si="3"/>
        <v>4534.4441568599996</v>
      </c>
    </row>
    <row r="59" spans="1:9" s="65" customFormat="1">
      <c r="A59" s="62" t="s">
        <v>129</v>
      </c>
      <c r="B59" s="38" t="s">
        <v>130</v>
      </c>
      <c r="C59" s="50" t="s">
        <v>131</v>
      </c>
      <c r="D59" s="40" t="s">
        <v>43</v>
      </c>
      <c r="E59" s="40">
        <f>237.17</f>
        <v>237.17</v>
      </c>
      <c r="F59" s="54">
        <v>12.58</v>
      </c>
      <c r="G59" s="41">
        <f>E59*F59</f>
        <v>2983.5985999999998</v>
      </c>
      <c r="H59" s="41">
        <f t="shared" si="3"/>
        <v>3654.0132054199994</v>
      </c>
    </row>
    <row r="60" spans="1:9">
      <c r="A60" s="62" t="s">
        <v>132</v>
      </c>
      <c r="B60" s="38" t="s">
        <v>133</v>
      </c>
      <c r="C60" s="50" t="s">
        <v>134</v>
      </c>
      <c r="D60" s="40" t="s">
        <v>43</v>
      </c>
      <c r="E60" s="40">
        <f>23.27+9+6.61+15.05+9</f>
        <v>62.929999999999993</v>
      </c>
      <c r="F60" s="51">
        <v>6.55</v>
      </c>
      <c r="G60" s="41">
        <f>E60*F60</f>
        <v>412.19149999999996</v>
      </c>
      <c r="H60" s="41">
        <f t="shared" si="3"/>
        <v>504.81093004999991</v>
      </c>
    </row>
    <row r="61" spans="1:9" ht="30">
      <c r="A61" s="62" t="s">
        <v>135</v>
      </c>
      <c r="B61" s="38" t="s">
        <v>136</v>
      </c>
      <c r="C61" s="50" t="s">
        <v>137</v>
      </c>
      <c r="D61" s="40" t="s">
        <v>43</v>
      </c>
      <c r="E61" s="40">
        <f>23.27+9+6.61+15.05+9</f>
        <v>62.929999999999993</v>
      </c>
      <c r="F61" s="53">
        <v>36.9</v>
      </c>
      <c r="G61" s="41">
        <f>E61*F61</f>
        <v>2322.1169999999997</v>
      </c>
      <c r="H61" s="41">
        <f t="shared" si="3"/>
        <v>2843.8966898999993</v>
      </c>
    </row>
    <row r="62" spans="1:9" ht="30">
      <c r="A62" s="62" t="s">
        <v>138</v>
      </c>
      <c r="B62" s="38" t="s">
        <v>139</v>
      </c>
      <c r="C62" s="50" t="s">
        <v>140</v>
      </c>
      <c r="D62" s="40" t="s">
        <v>43</v>
      </c>
      <c r="E62" s="40">
        <v>6.35</v>
      </c>
      <c r="F62" s="54">
        <v>22.47</v>
      </c>
      <c r="G62" s="41">
        <f>F62*E62</f>
        <v>142.68449999999999</v>
      </c>
      <c r="H62" s="41">
        <f t="shared" si="3"/>
        <v>174.74570714999996</v>
      </c>
    </row>
    <row r="63" spans="1:9">
      <c r="A63" s="62" t="s">
        <v>141</v>
      </c>
      <c r="B63" s="38" t="s">
        <v>142</v>
      </c>
      <c r="C63" s="50" t="s">
        <v>143</v>
      </c>
      <c r="D63" s="40" t="s">
        <v>43</v>
      </c>
      <c r="E63" s="40">
        <v>6.35</v>
      </c>
      <c r="F63" s="51">
        <v>18.72</v>
      </c>
      <c r="G63" s="41">
        <f>F63*E63</f>
        <v>118.87199999999999</v>
      </c>
      <c r="H63" s="41">
        <f t="shared" si="3"/>
        <v>145.58253839999998</v>
      </c>
    </row>
    <row r="64" spans="1:9" ht="15.6">
      <c r="A64" s="35" t="s">
        <v>144</v>
      </c>
      <c r="B64" s="42" t="s">
        <v>145</v>
      </c>
      <c r="C64" s="42"/>
      <c r="D64" s="42"/>
      <c r="E64" s="43"/>
      <c r="F64" s="44"/>
      <c r="G64" s="36">
        <f>SUM(G65,G74)</f>
        <v>65519.689400000003</v>
      </c>
      <c r="H64" s="36">
        <f t="shared" si="3"/>
        <v>80241.963608179998</v>
      </c>
    </row>
    <row r="65" spans="1:8" ht="15.6">
      <c r="A65" s="45" t="s">
        <v>146</v>
      </c>
      <c r="B65" s="55" t="s">
        <v>147</v>
      </c>
      <c r="C65" s="55"/>
      <c r="D65" s="55"/>
      <c r="E65" s="47"/>
      <c r="F65" s="48"/>
      <c r="G65" s="49">
        <f>SUM(G66:G73)</f>
        <v>40771.792399999998</v>
      </c>
      <c r="H65" s="49">
        <f t="shared" si="3"/>
        <v>49933.214152279994</v>
      </c>
    </row>
    <row r="66" spans="1:8" ht="60">
      <c r="A66" s="37" t="s">
        <v>148</v>
      </c>
      <c r="B66" s="38" t="s">
        <v>149</v>
      </c>
      <c r="C66" s="60" t="s">
        <v>150</v>
      </c>
      <c r="D66" s="40" t="s">
        <v>25</v>
      </c>
      <c r="E66" s="40">
        <f>6+1+1+1+1</f>
        <v>10</v>
      </c>
      <c r="F66" s="51">
        <v>915.84</v>
      </c>
      <c r="G66" s="41">
        <f t="shared" ref="G66:G73" si="4">E66*F66</f>
        <v>9158.4</v>
      </c>
      <c r="H66" s="41">
        <f t="shared" si="3"/>
        <v>11216.292479999998</v>
      </c>
    </row>
    <row r="67" spans="1:8" ht="60">
      <c r="A67" s="37" t="s">
        <v>151</v>
      </c>
      <c r="B67" s="38" t="s">
        <v>152</v>
      </c>
      <c r="C67" s="60" t="s">
        <v>153</v>
      </c>
      <c r="D67" s="40" t="s">
        <v>25</v>
      </c>
      <c r="E67" s="40">
        <f>5+1+1</f>
        <v>7</v>
      </c>
      <c r="F67" s="54">
        <v>678.3</v>
      </c>
      <c r="G67" s="41">
        <f t="shared" si="4"/>
        <v>4748.0999999999995</v>
      </c>
      <c r="H67" s="41">
        <f t="shared" si="3"/>
        <v>5814.9980699999987</v>
      </c>
    </row>
    <row r="68" spans="1:8" ht="45">
      <c r="A68" s="37" t="s">
        <v>154</v>
      </c>
      <c r="B68" s="38" t="s">
        <v>155</v>
      </c>
      <c r="C68" s="60" t="s">
        <v>156</v>
      </c>
      <c r="D68" s="40" t="s">
        <v>25</v>
      </c>
      <c r="E68" s="40">
        <f>5+1+1+1+1</f>
        <v>9</v>
      </c>
      <c r="F68" s="54">
        <v>700.25</v>
      </c>
      <c r="G68" s="41">
        <f t="shared" si="4"/>
        <v>6302.25</v>
      </c>
      <c r="H68" s="41">
        <f t="shared" si="3"/>
        <v>7718.3655749999998</v>
      </c>
    </row>
    <row r="69" spans="1:8">
      <c r="A69" s="37" t="s">
        <v>157</v>
      </c>
      <c r="B69" s="38" t="s">
        <v>158</v>
      </c>
      <c r="C69" s="60" t="s">
        <v>159</v>
      </c>
      <c r="D69" s="40" t="s">
        <v>43</v>
      </c>
      <c r="E69" s="40">
        <f>82.1+17.4+21+9.7+35+72.08</f>
        <v>237.27999999999997</v>
      </c>
      <c r="F69" s="51">
        <v>8.56</v>
      </c>
      <c r="G69" s="41">
        <f t="shared" si="4"/>
        <v>2031.1167999999998</v>
      </c>
      <c r="H69" s="41">
        <f t="shared" si="3"/>
        <v>2487.5087449599996</v>
      </c>
    </row>
    <row r="70" spans="1:8">
      <c r="A70" s="37" t="s">
        <v>160</v>
      </c>
      <c r="B70" s="38" t="s">
        <v>142</v>
      </c>
      <c r="C70" s="50" t="s">
        <v>143</v>
      </c>
      <c r="D70" s="40" t="s">
        <v>43</v>
      </c>
      <c r="E70" s="40">
        <f>82.1+17.4+21+9.7+35+20</f>
        <v>185.2</v>
      </c>
      <c r="F70" s="51">
        <v>18.72</v>
      </c>
      <c r="G70" s="41">
        <f t="shared" si="4"/>
        <v>3466.9439999999995</v>
      </c>
      <c r="H70" s="41">
        <f t="shared" si="3"/>
        <v>4245.9663167999988</v>
      </c>
    </row>
    <row r="71" spans="1:8" ht="30">
      <c r="A71" s="37" t="s">
        <v>161</v>
      </c>
      <c r="B71" s="38" t="s">
        <v>139</v>
      </c>
      <c r="C71" s="50" t="s">
        <v>162</v>
      </c>
      <c r="D71" s="40" t="s">
        <v>43</v>
      </c>
      <c r="E71" s="40">
        <f>261.2+36.3+74+100.7+35+72.08</f>
        <v>579.28</v>
      </c>
      <c r="F71" s="54">
        <v>22.47</v>
      </c>
      <c r="G71" s="41">
        <f t="shared" si="4"/>
        <v>13016.421599999998</v>
      </c>
      <c r="H71" s="41">
        <f t="shared" si="3"/>
        <v>15941.211533519996</v>
      </c>
    </row>
    <row r="72" spans="1:8">
      <c r="A72" s="37" t="s">
        <v>163</v>
      </c>
      <c r="B72" s="52" t="s">
        <v>164</v>
      </c>
      <c r="C72" s="60" t="s">
        <v>165</v>
      </c>
      <c r="D72" s="40" t="s">
        <v>25</v>
      </c>
      <c r="E72" s="40">
        <f>14+3+3+3+3+3</f>
        <v>29</v>
      </c>
      <c r="F72" s="51">
        <v>8.8699999999999992</v>
      </c>
      <c r="G72" s="41">
        <f t="shared" si="4"/>
        <v>257.22999999999996</v>
      </c>
      <c r="H72" s="41">
        <f t="shared" si="3"/>
        <v>315.02958099999995</v>
      </c>
    </row>
    <row r="73" spans="1:8" ht="30">
      <c r="A73" s="37" t="s">
        <v>166</v>
      </c>
      <c r="B73" s="52" t="s">
        <v>167</v>
      </c>
      <c r="C73" s="60" t="s">
        <v>168</v>
      </c>
      <c r="D73" s="40" t="s">
        <v>25</v>
      </c>
      <c r="E73" s="40">
        <f>14+3+3+3+3+3</f>
        <v>29</v>
      </c>
      <c r="F73" s="53">
        <v>61.77</v>
      </c>
      <c r="G73" s="41">
        <f t="shared" si="4"/>
        <v>1791.3300000000002</v>
      </c>
      <c r="H73" s="41">
        <f t="shared" si="3"/>
        <v>2193.8418510000001</v>
      </c>
    </row>
    <row r="74" spans="1:8" ht="15.6">
      <c r="A74" s="45" t="s">
        <v>169</v>
      </c>
      <c r="B74" s="55" t="s">
        <v>170</v>
      </c>
      <c r="C74" s="55"/>
      <c r="D74" s="55"/>
      <c r="E74" s="47"/>
      <c r="F74" s="49"/>
      <c r="G74" s="49">
        <f>SUM(G75:G77)</f>
        <v>24747.897000000004</v>
      </c>
      <c r="H74" s="49">
        <f t="shared" si="3"/>
        <v>30308.749455900004</v>
      </c>
    </row>
    <row r="75" spans="1:8" ht="30">
      <c r="A75" s="37" t="s">
        <v>171</v>
      </c>
      <c r="B75" s="38" t="s">
        <v>172</v>
      </c>
      <c r="C75" s="50" t="s">
        <v>173</v>
      </c>
      <c r="D75" s="40" t="s">
        <v>43</v>
      </c>
      <c r="E75" s="40">
        <f>254.33+32+49.64+52+26+45.36</f>
        <v>459.33000000000004</v>
      </c>
      <c r="F75" s="51">
        <v>9.09</v>
      </c>
      <c r="G75" s="41">
        <f>F75*E75</f>
        <v>4175.3097000000007</v>
      </c>
      <c r="H75" s="41">
        <f t="shared" si="3"/>
        <v>5113.50178959</v>
      </c>
    </row>
    <row r="76" spans="1:8" ht="30">
      <c r="A76" s="37" t="s">
        <v>174</v>
      </c>
      <c r="B76" s="38" t="s">
        <v>175</v>
      </c>
      <c r="C76" s="50" t="s">
        <v>176</v>
      </c>
      <c r="D76" s="40" t="s">
        <v>43</v>
      </c>
      <c r="E76" s="40">
        <f>254.33+32+49.64+52+26+45.36</f>
        <v>459.33000000000004</v>
      </c>
      <c r="F76" s="51">
        <v>37.81</v>
      </c>
      <c r="G76" s="41">
        <f>E76*F76</f>
        <v>17367.267300000003</v>
      </c>
      <c r="H76" s="41">
        <f t="shared" si="3"/>
        <v>21269.692262310004</v>
      </c>
    </row>
    <row r="77" spans="1:8">
      <c r="A77" s="37" t="s">
        <v>177</v>
      </c>
      <c r="B77" s="38" t="s">
        <v>136</v>
      </c>
      <c r="C77" s="50" t="s">
        <v>178</v>
      </c>
      <c r="D77" s="40" t="s">
        <v>25</v>
      </c>
      <c r="E77" s="40">
        <f>3+1</f>
        <v>4</v>
      </c>
      <c r="F77" s="51">
        <v>801.33</v>
      </c>
      <c r="G77" s="41">
        <f>F77*E77</f>
        <v>3205.32</v>
      </c>
      <c r="H77" s="41">
        <f t="shared" si="3"/>
        <v>3925.5554039999997</v>
      </c>
    </row>
    <row r="78" spans="1:8" ht="15.6">
      <c r="A78" s="35" t="s">
        <v>179</v>
      </c>
      <c r="B78" s="42" t="s">
        <v>180</v>
      </c>
      <c r="C78" s="42"/>
      <c r="D78" s="42"/>
      <c r="E78" s="43"/>
      <c r="F78" s="44"/>
      <c r="G78" s="36">
        <f>SUM(G79)</f>
        <v>55227.68</v>
      </c>
      <c r="H78" s="36">
        <f t="shared" si="3"/>
        <v>67637.339695999995</v>
      </c>
    </row>
    <row r="79" spans="1:8" ht="15.6">
      <c r="A79" s="45" t="s">
        <v>181</v>
      </c>
      <c r="B79" s="55" t="s">
        <v>182</v>
      </c>
      <c r="C79" s="55"/>
      <c r="D79" s="55"/>
      <c r="E79" s="47"/>
      <c r="F79" s="48"/>
      <c r="G79" s="49">
        <f>SUM(G80:G105)</f>
        <v>55227.68</v>
      </c>
      <c r="H79" s="49">
        <f t="shared" si="3"/>
        <v>67637.339695999995</v>
      </c>
    </row>
    <row r="80" spans="1:8">
      <c r="A80" s="37" t="s">
        <v>183</v>
      </c>
      <c r="B80" s="38" t="s">
        <v>184</v>
      </c>
      <c r="C80" s="50" t="s">
        <v>185</v>
      </c>
      <c r="D80" s="40" t="s">
        <v>25</v>
      </c>
      <c r="E80" s="40">
        <f>23+36+3+10</f>
        <v>72</v>
      </c>
      <c r="F80" s="51">
        <v>12.19</v>
      </c>
      <c r="G80" s="41">
        <f t="shared" ref="G80:G105" si="5">E80*F80</f>
        <v>877.68</v>
      </c>
      <c r="H80" s="41">
        <f t="shared" si="3"/>
        <v>1074.8946959999998</v>
      </c>
    </row>
    <row r="81" spans="1:8">
      <c r="A81" s="37" t="s">
        <v>186</v>
      </c>
      <c r="B81" s="38" t="s">
        <v>187</v>
      </c>
      <c r="C81" s="50" t="s">
        <v>188</v>
      </c>
      <c r="D81" s="40" t="s">
        <v>25</v>
      </c>
      <c r="E81" s="40">
        <f>22+6+10+19+12</f>
        <v>69</v>
      </c>
      <c r="F81" s="51">
        <v>4.97</v>
      </c>
      <c r="G81" s="41">
        <f t="shared" si="5"/>
        <v>342.93</v>
      </c>
      <c r="H81" s="41">
        <f t="shared" si="3"/>
        <v>419.98637099999996</v>
      </c>
    </row>
    <row r="82" spans="1:8">
      <c r="A82" s="37" t="s">
        <v>189</v>
      </c>
      <c r="B82" s="38" t="s">
        <v>190</v>
      </c>
      <c r="C82" s="50" t="s">
        <v>191</v>
      </c>
      <c r="D82" s="40" t="s">
        <v>25</v>
      </c>
      <c r="E82" s="40">
        <f>24+2+2+3+3</f>
        <v>34</v>
      </c>
      <c r="F82" s="54">
        <v>24.46</v>
      </c>
      <c r="G82" s="41">
        <f t="shared" si="5"/>
        <v>831.64</v>
      </c>
      <c r="H82" s="41">
        <f t="shared" si="3"/>
        <v>1018.5095079999999</v>
      </c>
    </row>
    <row r="83" spans="1:8">
      <c r="A83" s="37" t="s">
        <v>192</v>
      </c>
      <c r="B83" s="38" t="s">
        <v>193</v>
      </c>
      <c r="C83" s="50" t="s">
        <v>194</v>
      </c>
      <c r="D83" s="40" t="s">
        <v>25</v>
      </c>
      <c r="E83" s="40">
        <f>29+4+8+16+10</f>
        <v>67</v>
      </c>
      <c r="F83" s="51">
        <v>32.47</v>
      </c>
      <c r="G83" s="41">
        <f t="shared" si="5"/>
        <v>2175.4899999999998</v>
      </c>
      <c r="H83" s="41">
        <f t="shared" si="3"/>
        <v>2664.3226029999996</v>
      </c>
    </row>
    <row r="84" spans="1:8">
      <c r="A84" s="37" t="s">
        <v>195</v>
      </c>
      <c r="B84" s="66">
        <v>83469</v>
      </c>
      <c r="C84" s="50" t="s">
        <v>196</v>
      </c>
      <c r="D84" s="40" t="s">
        <v>25</v>
      </c>
      <c r="E84" s="40">
        <f>47+16+10+8+32+20</f>
        <v>133</v>
      </c>
      <c r="F84" s="51">
        <v>8.17</v>
      </c>
      <c r="G84" s="41">
        <f t="shared" si="5"/>
        <v>1086.6099999999999</v>
      </c>
      <c r="H84" s="41">
        <f t="shared" si="3"/>
        <v>1330.7712669999999</v>
      </c>
    </row>
    <row r="85" spans="1:8">
      <c r="A85" s="37" t="s">
        <v>197</v>
      </c>
      <c r="B85" s="66">
        <v>83468</v>
      </c>
      <c r="C85" s="50" t="s">
        <v>198</v>
      </c>
      <c r="D85" s="40" t="s">
        <v>25</v>
      </c>
      <c r="E85" s="40">
        <f>34+6+2+6+6</f>
        <v>54</v>
      </c>
      <c r="F85" s="51">
        <v>8.17</v>
      </c>
      <c r="G85" s="41">
        <f t="shared" si="5"/>
        <v>441.18</v>
      </c>
      <c r="H85" s="41">
        <f t="shared" si="3"/>
        <v>540.31314599999996</v>
      </c>
    </row>
    <row r="86" spans="1:8" ht="30">
      <c r="A86" s="37" t="s">
        <v>199</v>
      </c>
      <c r="B86" s="66">
        <v>91953</v>
      </c>
      <c r="C86" s="50" t="s">
        <v>200</v>
      </c>
      <c r="D86" s="40" t="s">
        <v>25</v>
      </c>
      <c r="E86" s="40">
        <f>16+3+4+4+3</f>
        <v>30</v>
      </c>
      <c r="F86" s="51">
        <v>20.61</v>
      </c>
      <c r="G86" s="41">
        <f t="shared" si="5"/>
        <v>618.29999999999995</v>
      </c>
      <c r="H86" s="41">
        <f t="shared" si="3"/>
        <v>757.23200999999983</v>
      </c>
    </row>
    <row r="87" spans="1:8" ht="30">
      <c r="A87" s="37" t="s">
        <v>201</v>
      </c>
      <c r="B87" s="66">
        <v>91959</v>
      </c>
      <c r="C87" s="50" t="s">
        <v>202</v>
      </c>
      <c r="D87" s="40" t="s">
        <v>25</v>
      </c>
      <c r="E87" s="40">
        <f>10+2+2+2+1</f>
        <v>17</v>
      </c>
      <c r="F87" s="51">
        <v>32.65</v>
      </c>
      <c r="G87" s="41">
        <f t="shared" si="5"/>
        <v>555.04999999999995</v>
      </c>
      <c r="H87" s="41">
        <f t="shared" si="3"/>
        <v>679.76973499999986</v>
      </c>
    </row>
    <row r="88" spans="1:8" ht="30">
      <c r="A88" s="37" t="s">
        <v>203</v>
      </c>
      <c r="B88" s="66" t="s">
        <v>204</v>
      </c>
      <c r="C88" s="50" t="s">
        <v>205</v>
      </c>
      <c r="D88" s="40" t="s">
        <v>25</v>
      </c>
      <c r="E88" s="40">
        <f>9+2+2+2+3</f>
        <v>18</v>
      </c>
      <c r="F88" s="51">
        <v>151.81</v>
      </c>
      <c r="G88" s="41">
        <f t="shared" si="5"/>
        <v>2732.58</v>
      </c>
      <c r="H88" s="41">
        <f t="shared" ref="H88:H119" si="6">G88*(1+$H$21)</f>
        <v>3346.5907259999994</v>
      </c>
    </row>
    <row r="89" spans="1:8" ht="30">
      <c r="A89" s="37" t="s">
        <v>206</v>
      </c>
      <c r="B89" s="66" t="s">
        <v>207</v>
      </c>
      <c r="C89" s="50" t="s">
        <v>208</v>
      </c>
      <c r="D89" s="40" t="s">
        <v>25</v>
      </c>
      <c r="E89" s="40">
        <f>19+4+8+8+5</f>
        <v>44</v>
      </c>
      <c r="F89" s="53">
        <v>106.57</v>
      </c>
      <c r="G89" s="41">
        <f t="shared" si="5"/>
        <v>4689.08</v>
      </c>
      <c r="H89" s="41">
        <f t="shared" si="6"/>
        <v>5742.7162759999992</v>
      </c>
    </row>
    <row r="90" spans="1:8" ht="30">
      <c r="A90" s="37" t="s">
        <v>209</v>
      </c>
      <c r="B90" s="52" t="s">
        <v>210</v>
      </c>
      <c r="C90" s="57" t="s">
        <v>211</v>
      </c>
      <c r="D90" s="40" t="s">
        <v>25</v>
      </c>
      <c r="E90" s="40">
        <f>10+2+2+2+3</f>
        <v>19</v>
      </c>
      <c r="F90" s="51">
        <v>27.29</v>
      </c>
      <c r="G90" s="41">
        <f t="shared" si="5"/>
        <v>518.51</v>
      </c>
      <c r="H90" s="41">
        <f t="shared" si="6"/>
        <v>635.01919699999996</v>
      </c>
    </row>
    <row r="91" spans="1:8" ht="45">
      <c r="A91" s="37" t="s">
        <v>212</v>
      </c>
      <c r="B91" s="66">
        <v>83479</v>
      </c>
      <c r="C91" s="57" t="s">
        <v>213</v>
      </c>
      <c r="D91" s="40" t="s">
        <v>25</v>
      </c>
      <c r="E91" s="40">
        <f>14+2+2+2+2</f>
        <v>22</v>
      </c>
      <c r="F91" s="51">
        <v>223.92</v>
      </c>
      <c r="G91" s="41">
        <f t="shared" si="5"/>
        <v>4926.24</v>
      </c>
      <c r="H91" s="41">
        <f t="shared" si="6"/>
        <v>6033.1661279999989</v>
      </c>
    </row>
    <row r="92" spans="1:8" ht="30">
      <c r="A92" s="37" t="s">
        <v>214</v>
      </c>
      <c r="B92" s="66">
        <v>91836</v>
      </c>
      <c r="C92" s="50" t="s">
        <v>215</v>
      </c>
      <c r="D92" s="40" t="s">
        <v>67</v>
      </c>
      <c r="E92" s="40">
        <f>250+50+50+50+50</f>
        <v>450</v>
      </c>
      <c r="F92" s="51">
        <v>10.26</v>
      </c>
      <c r="G92" s="41">
        <f t="shared" si="5"/>
        <v>4617</v>
      </c>
      <c r="H92" s="41">
        <f t="shared" si="6"/>
        <v>5654.4398999999994</v>
      </c>
    </row>
    <row r="93" spans="1:8" ht="30">
      <c r="A93" s="37" t="s">
        <v>216</v>
      </c>
      <c r="B93" s="66">
        <v>91856</v>
      </c>
      <c r="C93" s="57" t="s">
        <v>217</v>
      </c>
      <c r="D93" s="40" t="s">
        <v>67</v>
      </c>
      <c r="E93" s="40">
        <f>250+50+50+50+50</f>
        <v>450</v>
      </c>
      <c r="F93" s="51">
        <v>9.3000000000000007</v>
      </c>
      <c r="G93" s="41">
        <f t="shared" si="5"/>
        <v>4185</v>
      </c>
      <c r="H93" s="41">
        <f t="shared" si="6"/>
        <v>5125.3694999999998</v>
      </c>
    </row>
    <row r="94" spans="1:8" ht="30">
      <c r="A94" s="37" t="s">
        <v>218</v>
      </c>
      <c r="B94" s="66">
        <v>91924</v>
      </c>
      <c r="C94" s="57" t="s">
        <v>219</v>
      </c>
      <c r="D94" s="40" t="s">
        <v>67</v>
      </c>
      <c r="E94" s="40">
        <f>400+100+100+100+100+100</f>
        <v>900</v>
      </c>
      <c r="F94" s="51">
        <v>2.69</v>
      </c>
      <c r="G94" s="41">
        <f t="shared" si="5"/>
        <v>2421</v>
      </c>
      <c r="H94" s="41">
        <f t="shared" si="6"/>
        <v>2964.9986999999996</v>
      </c>
    </row>
    <row r="95" spans="1:8" ht="30">
      <c r="A95" s="37" t="s">
        <v>220</v>
      </c>
      <c r="B95" s="66">
        <v>91926</v>
      </c>
      <c r="C95" s="57" t="s">
        <v>221</v>
      </c>
      <c r="D95" s="40" t="s">
        <v>67</v>
      </c>
      <c r="E95" s="40">
        <f>500+100+100+100+100</f>
        <v>900</v>
      </c>
      <c r="F95" s="51">
        <v>4.01</v>
      </c>
      <c r="G95" s="41">
        <f t="shared" si="5"/>
        <v>3609</v>
      </c>
      <c r="H95" s="41">
        <f t="shared" si="6"/>
        <v>4419.9422999999997</v>
      </c>
    </row>
    <row r="96" spans="1:8" ht="30">
      <c r="A96" s="37" t="s">
        <v>222</v>
      </c>
      <c r="B96" s="66">
        <v>91929</v>
      </c>
      <c r="C96" s="57" t="s">
        <v>223</v>
      </c>
      <c r="D96" s="40" t="s">
        <v>67</v>
      </c>
      <c r="E96" s="40">
        <f>450+50+50+50+50</f>
        <v>650</v>
      </c>
      <c r="F96" s="51">
        <v>7.7</v>
      </c>
      <c r="G96" s="41">
        <f t="shared" si="5"/>
        <v>5005</v>
      </c>
      <c r="H96" s="41">
        <f t="shared" si="6"/>
        <v>6129.6234999999997</v>
      </c>
    </row>
    <row r="97" spans="1:8" ht="30">
      <c r="A97" s="37" t="s">
        <v>224</v>
      </c>
      <c r="B97" s="66">
        <v>91932</v>
      </c>
      <c r="C97" s="57" t="s">
        <v>225</v>
      </c>
      <c r="D97" s="40" t="s">
        <v>67</v>
      </c>
      <c r="E97" s="40">
        <f>250+50+50+50+50</f>
        <v>450</v>
      </c>
      <c r="F97" s="51">
        <v>15.36</v>
      </c>
      <c r="G97" s="41">
        <f t="shared" si="5"/>
        <v>6912</v>
      </c>
      <c r="H97" s="41">
        <f t="shared" si="6"/>
        <v>8465.1263999999992</v>
      </c>
    </row>
    <row r="98" spans="1:8" ht="30">
      <c r="A98" s="37" t="s">
        <v>226</v>
      </c>
      <c r="B98" s="66">
        <v>92001</v>
      </c>
      <c r="C98" s="50" t="s">
        <v>227</v>
      </c>
      <c r="D98" s="40" t="s">
        <v>25</v>
      </c>
      <c r="E98" s="40">
        <f>20+4+5+2+7</f>
        <v>38</v>
      </c>
      <c r="F98" s="51">
        <v>23.82</v>
      </c>
      <c r="G98" s="41">
        <f t="shared" si="5"/>
        <v>905.16</v>
      </c>
      <c r="H98" s="41">
        <f t="shared" si="6"/>
        <v>1108.549452</v>
      </c>
    </row>
    <row r="99" spans="1:8" ht="30">
      <c r="A99" s="37" t="s">
        <v>228</v>
      </c>
      <c r="B99" s="66">
        <v>92009</v>
      </c>
      <c r="C99" s="50" t="s">
        <v>229</v>
      </c>
      <c r="D99" s="40" t="s">
        <v>25</v>
      </c>
      <c r="E99" s="40">
        <f>25+6+6+8+8</f>
        <v>53</v>
      </c>
      <c r="F99" s="51">
        <v>39.03</v>
      </c>
      <c r="G99" s="41">
        <f t="shared" si="5"/>
        <v>2068.59</v>
      </c>
      <c r="H99" s="41">
        <f t="shared" si="6"/>
        <v>2533.4021729999999</v>
      </c>
    </row>
    <row r="100" spans="1:8" ht="30">
      <c r="A100" s="37" t="s">
        <v>230</v>
      </c>
      <c r="B100" s="66">
        <v>91993</v>
      </c>
      <c r="C100" s="50" t="s">
        <v>231</v>
      </c>
      <c r="D100" s="40" t="s">
        <v>25</v>
      </c>
      <c r="E100" s="40">
        <f>15+2+2+3+4</f>
        <v>26</v>
      </c>
      <c r="F100" s="54">
        <v>32.92</v>
      </c>
      <c r="G100" s="41">
        <f t="shared" si="5"/>
        <v>855.92000000000007</v>
      </c>
      <c r="H100" s="41">
        <f t="shared" si="6"/>
        <v>1048.245224</v>
      </c>
    </row>
    <row r="101" spans="1:8" ht="30">
      <c r="A101" s="37" t="s">
        <v>232</v>
      </c>
      <c r="B101" s="66">
        <v>92005</v>
      </c>
      <c r="C101" s="50" t="s">
        <v>233</v>
      </c>
      <c r="D101" s="40" t="s">
        <v>25</v>
      </c>
      <c r="E101" s="40">
        <f>13+1+2+3+1</f>
        <v>20</v>
      </c>
      <c r="F101" s="53">
        <v>36.549999999999997</v>
      </c>
      <c r="G101" s="41">
        <f t="shared" si="5"/>
        <v>731</v>
      </c>
      <c r="H101" s="41">
        <f t="shared" si="6"/>
        <v>895.25569999999993</v>
      </c>
    </row>
    <row r="102" spans="1:8" ht="30">
      <c r="A102" s="67" t="s">
        <v>234</v>
      </c>
      <c r="B102" s="68" t="s">
        <v>235</v>
      </c>
      <c r="C102" s="57" t="s">
        <v>236</v>
      </c>
      <c r="D102" s="64" t="s">
        <v>25</v>
      </c>
      <c r="E102" s="64">
        <v>15</v>
      </c>
      <c r="F102" s="51">
        <v>33.64</v>
      </c>
      <c r="G102" s="54">
        <f t="shared" si="5"/>
        <v>504.6</v>
      </c>
      <c r="H102" s="41">
        <f t="shared" si="6"/>
        <v>617.98361999999997</v>
      </c>
    </row>
    <row r="103" spans="1:8">
      <c r="A103" s="37" t="s">
        <v>237</v>
      </c>
      <c r="B103" s="66" t="s">
        <v>238</v>
      </c>
      <c r="C103" s="50" t="s">
        <v>239</v>
      </c>
      <c r="D103" s="40" t="s">
        <v>67</v>
      </c>
      <c r="E103" s="40">
        <f>50+10+10+10+5</f>
        <v>85</v>
      </c>
      <c r="F103" s="51">
        <v>37.22</v>
      </c>
      <c r="G103" s="41">
        <f t="shared" si="5"/>
        <v>3163.7</v>
      </c>
      <c r="H103" s="41">
        <f t="shared" si="6"/>
        <v>3874.5833899999993</v>
      </c>
    </row>
    <row r="104" spans="1:8" ht="30">
      <c r="A104" s="37" t="s">
        <v>240</v>
      </c>
      <c r="B104" s="66" t="s">
        <v>241</v>
      </c>
      <c r="C104" s="57" t="s">
        <v>242</v>
      </c>
      <c r="D104" s="40" t="s">
        <v>25</v>
      </c>
      <c r="E104" s="40">
        <f>23+3+3</f>
        <v>29</v>
      </c>
      <c r="F104" s="51">
        <v>12.38</v>
      </c>
      <c r="G104" s="41">
        <f t="shared" si="5"/>
        <v>359.02000000000004</v>
      </c>
      <c r="H104" s="41">
        <f t="shared" si="6"/>
        <v>439.69179400000002</v>
      </c>
    </row>
    <row r="105" spans="1:8" ht="30">
      <c r="A105" s="37" t="s">
        <v>243</v>
      </c>
      <c r="B105" s="66" t="s">
        <v>244</v>
      </c>
      <c r="C105" s="57" t="s">
        <v>245</v>
      </c>
      <c r="D105" s="40" t="s">
        <v>25</v>
      </c>
      <c r="E105" s="40">
        <f>3+1+1</f>
        <v>5</v>
      </c>
      <c r="F105" s="51">
        <v>19.079999999999998</v>
      </c>
      <c r="G105" s="41">
        <f t="shared" si="5"/>
        <v>95.399999999999991</v>
      </c>
      <c r="H105" s="41">
        <f t="shared" si="6"/>
        <v>116.83637999999998</v>
      </c>
    </row>
    <row r="106" spans="1:8" ht="15.6">
      <c r="A106" s="35" t="s">
        <v>246</v>
      </c>
      <c r="B106" s="42" t="s">
        <v>247</v>
      </c>
      <c r="C106" s="42"/>
      <c r="D106" s="42"/>
      <c r="E106" s="43"/>
      <c r="F106" s="69"/>
      <c r="G106" s="36">
        <f>SUM(G107)</f>
        <v>17617.080000000002</v>
      </c>
      <c r="H106" s="49">
        <f t="shared" si="6"/>
        <v>21575.637876000001</v>
      </c>
    </row>
    <row r="107" spans="1:8" ht="15.6">
      <c r="A107" s="45" t="s">
        <v>248</v>
      </c>
      <c r="B107" s="55" t="s">
        <v>249</v>
      </c>
      <c r="C107" s="55"/>
      <c r="D107" s="55"/>
      <c r="E107" s="47"/>
      <c r="F107" s="70"/>
      <c r="G107" s="49">
        <f>SUM(G108:G109)</f>
        <v>17617.080000000002</v>
      </c>
      <c r="H107" s="49">
        <f t="shared" si="6"/>
        <v>21575.637876000001</v>
      </c>
    </row>
    <row r="108" spans="1:8" ht="30">
      <c r="A108" s="37" t="s">
        <v>250</v>
      </c>
      <c r="B108" s="66" t="s">
        <v>251</v>
      </c>
      <c r="C108" s="71" t="s">
        <v>252</v>
      </c>
      <c r="D108" s="40" t="s">
        <v>25</v>
      </c>
      <c r="E108" s="40">
        <f>30+3+3+3+3</f>
        <v>42</v>
      </c>
      <c r="F108" s="51">
        <v>311.94</v>
      </c>
      <c r="G108" s="41">
        <f>E108*F108</f>
        <v>13101.48</v>
      </c>
      <c r="H108" s="41">
        <f t="shared" si="6"/>
        <v>16045.382555999999</v>
      </c>
    </row>
    <row r="109" spans="1:8">
      <c r="A109" s="37" t="s">
        <v>253</v>
      </c>
      <c r="B109" s="66" t="s">
        <v>254</v>
      </c>
      <c r="C109" s="71" t="s">
        <v>255</v>
      </c>
      <c r="D109" s="40" t="s">
        <v>67</v>
      </c>
      <c r="E109" s="40">
        <f>226+25+25+48+100</f>
        <v>424</v>
      </c>
      <c r="F109" s="51">
        <v>10.65</v>
      </c>
      <c r="G109" s="41">
        <f>E109*F109</f>
        <v>4515.6000000000004</v>
      </c>
      <c r="H109" s="41">
        <f t="shared" si="6"/>
        <v>5530.2553200000002</v>
      </c>
    </row>
    <row r="110" spans="1:8" ht="15.6">
      <c r="A110" s="35" t="s">
        <v>256</v>
      </c>
      <c r="B110" s="42" t="s">
        <v>257</v>
      </c>
      <c r="C110" s="42"/>
      <c r="D110" s="42"/>
      <c r="E110" s="43"/>
      <c r="F110" s="69"/>
      <c r="G110" s="36">
        <f>SUM(G111,G114)</f>
        <v>24510.429999999993</v>
      </c>
      <c r="H110" s="49">
        <f t="shared" si="6"/>
        <v>30017.923620999987</v>
      </c>
    </row>
    <row r="111" spans="1:8" ht="15.6">
      <c r="A111" s="45" t="s">
        <v>258</v>
      </c>
      <c r="B111" s="4" t="s">
        <v>259</v>
      </c>
      <c r="C111" s="4"/>
      <c r="D111" s="4"/>
      <c r="E111" s="4"/>
      <c r="F111" s="4"/>
      <c r="G111" s="49">
        <f>SUM(G112:G113)</f>
        <v>0</v>
      </c>
      <c r="H111" s="49">
        <f t="shared" si="6"/>
        <v>0</v>
      </c>
    </row>
    <row r="112" spans="1:8">
      <c r="A112" s="37" t="s">
        <v>260</v>
      </c>
      <c r="B112" s="66"/>
      <c r="C112" s="50"/>
      <c r="D112" s="40"/>
      <c r="E112" s="40"/>
      <c r="F112" s="41"/>
      <c r="G112" s="41">
        <f>E112*F112</f>
        <v>0</v>
      </c>
      <c r="H112" s="41">
        <f t="shared" si="6"/>
        <v>0</v>
      </c>
    </row>
    <row r="113" spans="1:10">
      <c r="A113" s="37" t="s">
        <v>261</v>
      </c>
      <c r="B113" s="38"/>
      <c r="C113" s="72"/>
      <c r="D113" s="40"/>
      <c r="E113" s="40"/>
      <c r="F113" s="41"/>
      <c r="G113" s="41">
        <f>E113*F113</f>
        <v>0</v>
      </c>
      <c r="H113" s="41">
        <f t="shared" si="6"/>
        <v>0</v>
      </c>
    </row>
    <row r="114" spans="1:10" ht="15.6">
      <c r="A114" s="45" t="s">
        <v>262</v>
      </c>
      <c r="B114" s="55" t="s">
        <v>263</v>
      </c>
      <c r="C114" s="55"/>
      <c r="D114" s="55"/>
      <c r="E114" s="47"/>
      <c r="F114" s="48"/>
      <c r="G114" s="49">
        <f>SUM(G115:G137)</f>
        <v>24510.429999999993</v>
      </c>
      <c r="H114" s="49">
        <f t="shared" si="6"/>
        <v>30017.923620999987</v>
      </c>
    </row>
    <row r="115" spans="1:10" ht="30">
      <c r="A115" s="37" t="s">
        <v>264</v>
      </c>
      <c r="B115" s="38" t="s">
        <v>265</v>
      </c>
      <c r="C115" s="50" t="s">
        <v>266</v>
      </c>
      <c r="D115" s="40" t="s">
        <v>67</v>
      </c>
      <c r="E115" s="40">
        <f>125</f>
        <v>125</v>
      </c>
      <c r="F115" s="51">
        <v>17.260000000000002</v>
      </c>
      <c r="G115" s="41">
        <f t="shared" ref="G115:G137" si="7">E115*F115</f>
        <v>2157.5</v>
      </c>
      <c r="H115" s="41">
        <f t="shared" si="6"/>
        <v>2642.2902499999996</v>
      </c>
    </row>
    <row r="116" spans="1:10" ht="45">
      <c r="A116" s="37" t="s">
        <v>267</v>
      </c>
      <c r="B116" s="38" t="s">
        <v>268</v>
      </c>
      <c r="C116" s="50" t="s">
        <v>269</v>
      </c>
      <c r="D116" s="40" t="s">
        <v>25</v>
      </c>
      <c r="E116" s="40">
        <f>9</f>
        <v>9</v>
      </c>
      <c r="F116" s="51">
        <v>5.31</v>
      </c>
      <c r="G116" s="41">
        <f t="shared" si="7"/>
        <v>47.79</v>
      </c>
      <c r="H116" s="41">
        <f t="shared" si="6"/>
        <v>58.528412999999993</v>
      </c>
    </row>
    <row r="117" spans="1:10">
      <c r="A117" s="37" t="s">
        <v>270</v>
      </c>
      <c r="B117" s="38" t="s">
        <v>271</v>
      </c>
      <c r="C117" s="50" t="s">
        <v>272</v>
      </c>
      <c r="D117" s="40" t="s">
        <v>25</v>
      </c>
      <c r="E117" s="40">
        <f>9</f>
        <v>9</v>
      </c>
      <c r="F117" s="51">
        <v>121.15</v>
      </c>
      <c r="G117" s="41">
        <f t="shared" si="7"/>
        <v>1090.3500000000001</v>
      </c>
      <c r="H117" s="41">
        <f t="shared" si="6"/>
        <v>1335.351645</v>
      </c>
    </row>
    <row r="118" spans="1:10" ht="30">
      <c r="A118" s="37" t="s">
        <v>273</v>
      </c>
      <c r="B118" s="38" t="s">
        <v>274</v>
      </c>
      <c r="C118" s="50" t="s">
        <v>275</v>
      </c>
      <c r="D118" s="40" t="s">
        <v>25</v>
      </c>
      <c r="E118" s="40">
        <v>90</v>
      </c>
      <c r="F118" s="51">
        <v>9.61</v>
      </c>
      <c r="G118" s="41">
        <f t="shared" si="7"/>
        <v>864.9</v>
      </c>
      <c r="H118" s="41">
        <f t="shared" si="6"/>
        <v>1059.2430299999999</v>
      </c>
    </row>
    <row r="119" spans="1:10" ht="30">
      <c r="A119" s="37" t="s">
        <v>276</v>
      </c>
      <c r="B119" s="38" t="s">
        <v>277</v>
      </c>
      <c r="C119" s="50" t="s">
        <v>278</v>
      </c>
      <c r="D119" s="40" t="s">
        <v>25</v>
      </c>
      <c r="E119" s="40">
        <v>90</v>
      </c>
      <c r="F119" s="51">
        <v>6.81</v>
      </c>
      <c r="G119" s="41">
        <f t="shared" si="7"/>
        <v>612.9</v>
      </c>
      <c r="H119" s="41">
        <f t="shared" si="6"/>
        <v>750.61862999999994</v>
      </c>
    </row>
    <row r="120" spans="1:10" ht="30">
      <c r="A120" s="37" t="s">
        <v>279</v>
      </c>
      <c r="B120" s="38" t="s">
        <v>280</v>
      </c>
      <c r="C120" s="50" t="s">
        <v>281</v>
      </c>
      <c r="D120" s="40" t="s">
        <v>25</v>
      </c>
      <c r="E120" s="40">
        <v>90</v>
      </c>
      <c r="F120" s="51">
        <v>5.2</v>
      </c>
      <c r="G120" s="41">
        <f t="shared" si="7"/>
        <v>468</v>
      </c>
      <c r="H120" s="41">
        <f t="shared" ref="H120:H151" si="8">G120*(1+$H$21)</f>
        <v>573.15959999999995</v>
      </c>
    </row>
    <row r="121" spans="1:10" ht="30">
      <c r="A121" s="37" t="s">
        <v>282</v>
      </c>
      <c r="B121" s="38" t="s">
        <v>283</v>
      </c>
      <c r="C121" s="50" t="s">
        <v>284</v>
      </c>
      <c r="D121" s="40" t="s">
        <v>25</v>
      </c>
      <c r="E121" s="40">
        <v>90</v>
      </c>
      <c r="F121" s="51">
        <v>7.6</v>
      </c>
      <c r="G121" s="41">
        <f t="shared" si="7"/>
        <v>684</v>
      </c>
      <c r="H121" s="41">
        <f t="shared" si="8"/>
        <v>837.69479999999999</v>
      </c>
    </row>
    <row r="122" spans="1:10" ht="30">
      <c r="A122" s="83" t="s">
        <v>285</v>
      </c>
      <c r="B122" s="90" t="s">
        <v>286</v>
      </c>
      <c r="C122" s="85" t="s">
        <v>287</v>
      </c>
      <c r="D122" s="86" t="s">
        <v>25</v>
      </c>
      <c r="E122" s="86">
        <v>80</v>
      </c>
      <c r="F122" s="87">
        <v>5.16</v>
      </c>
      <c r="G122" s="88">
        <f t="shared" si="7"/>
        <v>412.8</v>
      </c>
      <c r="H122" s="88">
        <f t="shared" si="8"/>
        <v>505.55615999999998</v>
      </c>
    </row>
    <row r="123" spans="1:10">
      <c r="A123" s="37" t="s">
        <v>288</v>
      </c>
      <c r="B123" s="38" t="s">
        <v>289</v>
      </c>
      <c r="C123" s="50" t="s">
        <v>290</v>
      </c>
      <c r="D123" s="40" t="s">
        <v>25</v>
      </c>
      <c r="E123" s="40">
        <v>18</v>
      </c>
      <c r="F123" s="51">
        <v>107.26</v>
      </c>
      <c r="G123" s="41">
        <f t="shared" si="7"/>
        <v>1930.68</v>
      </c>
      <c r="H123" s="41">
        <f t="shared" si="8"/>
        <v>2364.503796</v>
      </c>
      <c r="J123" s="73"/>
    </row>
    <row r="124" spans="1:10" ht="30">
      <c r="A124" s="37" t="s">
        <v>291</v>
      </c>
      <c r="B124" s="38" t="s">
        <v>292</v>
      </c>
      <c r="C124" s="50" t="s">
        <v>293</v>
      </c>
      <c r="D124" s="40" t="s">
        <v>67</v>
      </c>
      <c r="E124" s="40">
        <v>180</v>
      </c>
      <c r="F124" s="51">
        <v>16.940000000000001</v>
      </c>
      <c r="G124" s="41">
        <f t="shared" si="7"/>
        <v>3049.2000000000003</v>
      </c>
      <c r="H124" s="41">
        <f t="shared" si="8"/>
        <v>3734.3552399999999</v>
      </c>
    </row>
    <row r="125" spans="1:10" ht="45">
      <c r="A125" s="37" t="s">
        <v>294</v>
      </c>
      <c r="B125" s="38" t="s">
        <v>295</v>
      </c>
      <c r="C125" s="50" t="s">
        <v>296</v>
      </c>
      <c r="D125" s="40" t="s">
        <v>25</v>
      </c>
      <c r="E125" s="40">
        <v>180</v>
      </c>
      <c r="F125" s="51">
        <v>9.26</v>
      </c>
      <c r="G125" s="41">
        <f t="shared" si="7"/>
        <v>1666.8</v>
      </c>
      <c r="H125" s="41">
        <f t="shared" si="8"/>
        <v>2041.3299599999998</v>
      </c>
    </row>
    <row r="126" spans="1:10" ht="45">
      <c r="A126" s="37" t="s">
        <v>297</v>
      </c>
      <c r="B126" s="38" t="s">
        <v>298</v>
      </c>
      <c r="C126" s="50" t="s">
        <v>299</v>
      </c>
      <c r="D126" s="40" t="s">
        <v>25</v>
      </c>
      <c r="E126" s="40">
        <v>90</v>
      </c>
      <c r="F126" s="51">
        <v>10.050000000000001</v>
      </c>
      <c r="G126" s="41">
        <f t="shared" si="7"/>
        <v>904.50000000000011</v>
      </c>
      <c r="H126" s="41">
        <f t="shared" si="8"/>
        <v>1107.7411500000001</v>
      </c>
    </row>
    <row r="127" spans="1:10" ht="45">
      <c r="A127" s="37" t="s">
        <v>300</v>
      </c>
      <c r="B127" s="38" t="s">
        <v>301</v>
      </c>
      <c r="C127" s="50" t="s">
        <v>302</v>
      </c>
      <c r="D127" s="40" t="s">
        <v>25</v>
      </c>
      <c r="E127" s="40">
        <v>90</v>
      </c>
      <c r="F127" s="51">
        <v>17.46</v>
      </c>
      <c r="G127" s="41">
        <f t="shared" si="7"/>
        <v>1571.4</v>
      </c>
      <c r="H127" s="41">
        <f t="shared" si="8"/>
        <v>1924.4935800000001</v>
      </c>
    </row>
    <row r="128" spans="1:10" ht="30">
      <c r="A128" s="37" t="s">
        <v>303</v>
      </c>
      <c r="B128" s="38" t="s">
        <v>304</v>
      </c>
      <c r="C128" s="50" t="s">
        <v>305</v>
      </c>
      <c r="D128" s="40" t="s">
        <v>25</v>
      </c>
      <c r="E128" s="40">
        <v>90</v>
      </c>
      <c r="F128" s="51">
        <v>10.59</v>
      </c>
      <c r="G128" s="41">
        <f t="shared" si="7"/>
        <v>953.1</v>
      </c>
      <c r="H128" s="41">
        <f t="shared" si="8"/>
        <v>1167.2615699999999</v>
      </c>
    </row>
    <row r="129" spans="1:8" ht="30">
      <c r="A129" s="37" t="s">
        <v>306</v>
      </c>
      <c r="B129" s="38" t="s">
        <v>307</v>
      </c>
      <c r="C129" s="50" t="s">
        <v>308</v>
      </c>
      <c r="D129" s="40" t="s">
        <v>67</v>
      </c>
      <c r="E129" s="40">
        <v>15</v>
      </c>
      <c r="F129" s="51">
        <v>49.43</v>
      </c>
      <c r="G129" s="41">
        <f t="shared" si="7"/>
        <v>741.45</v>
      </c>
      <c r="H129" s="41">
        <f t="shared" si="8"/>
        <v>908.05381499999999</v>
      </c>
    </row>
    <row r="130" spans="1:8" ht="30">
      <c r="A130" s="37" t="s">
        <v>309</v>
      </c>
      <c r="B130" s="38" t="s">
        <v>310</v>
      </c>
      <c r="C130" s="50" t="s">
        <v>311</v>
      </c>
      <c r="D130" s="40" t="s">
        <v>25</v>
      </c>
      <c r="E130" s="64">
        <v>18</v>
      </c>
      <c r="F130" s="54">
        <v>7.75</v>
      </c>
      <c r="G130" s="41">
        <f t="shared" si="7"/>
        <v>139.5</v>
      </c>
      <c r="H130" s="41">
        <f t="shared" si="8"/>
        <v>170.84564999999998</v>
      </c>
    </row>
    <row r="131" spans="1:8">
      <c r="A131" s="37" t="s">
        <v>312</v>
      </c>
      <c r="B131" s="38" t="s">
        <v>313</v>
      </c>
      <c r="C131" s="50" t="s">
        <v>314</v>
      </c>
      <c r="D131" s="40" t="s">
        <v>25</v>
      </c>
      <c r="E131" s="40">
        <v>18</v>
      </c>
      <c r="F131" s="51">
        <v>11.15</v>
      </c>
      <c r="G131" s="41">
        <f t="shared" si="7"/>
        <v>200.70000000000002</v>
      </c>
      <c r="H131" s="41">
        <f t="shared" si="8"/>
        <v>245.79729</v>
      </c>
    </row>
    <row r="132" spans="1:8">
      <c r="A132" s="37" t="s">
        <v>315</v>
      </c>
      <c r="B132" s="74" t="s">
        <v>316</v>
      </c>
      <c r="C132" s="50" t="s">
        <v>317</v>
      </c>
      <c r="D132" s="40" t="s">
        <v>25</v>
      </c>
      <c r="E132" s="40">
        <v>27</v>
      </c>
      <c r="F132" s="51">
        <v>16.059999999999999</v>
      </c>
      <c r="G132" s="41">
        <f t="shared" si="7"/>
        <v>433.61999999999995</v>
      </c>
      <c r="H132" s="41">
        <f t="shared" si="8"/>
        <v>531.05441399999984</v>
      </c>
    </row>
    <row r="133" spans="1:8" ht="30">
      <c r="A133" s="37" t="s">
        <v>318</v>
      </c>
      <c r="B133" s="38" t="s">
        <v>319</v>
      </c>
      <c r="C133" s="50" t="s">
        <v>320</v>
      </c>
      <c r="D133" s="40" t="s">
        <v>25</v>
      </c>
      <c r="E133" s="40">
        <v>9</v>
      </c>
      <c r="F133" s="54">
        <v>45.39</v>
      </c>
      <c r="G133" s="41">
        <f t="shared" si="7"/>
        <v>408.51</v>
      </c>
      <c r="H133" s="41">
        <f t="shared" si="8"/>
        <v>500.30219699999992</v>
      </c>
    </row>
    <row r="134" spans="1:8">
      <c r="A134" s="37" t="s">
        <v>321</v>
      </c>
      <c r="B134" s="75" t="s">
        <v>322</v>
      </c>
      <c r="C134" s="50" t="s">
        <v>323</v>
      </c>
      <c r="D134" s="40" t="s">
        <v>25</v>
      </c>
      <c r="E134" s="40">
        <v>8</v>
      </c>
      <c r="F134" s="51">
        <v>265.89</v>
      </c>
      <c r="G134" s="41">
        <f t="shared" si="7"/>
        <v>2127.12</v>
      </c>
      <c r="H134" s="41">
        <f t="shared" si="8"/>
        <v>2605.0838639999997</v>
      </c>
    </row>
    <row r="135" spans="1:8">
      <c r="A135" s="37" t="s">
        <v>324</v>
      </c>
      <c r="B135" s="38" t="s">
        <v>325</v>
      </c>
      <c r="C135" s="50" t="s">
        <v>326</v>
      </c>
      <c r="D135" s="40" t="s">
        <v>25</v>
      </c>
      <c r="E135" s="40">
        <v>19</v>
      </c>
      <c r="F135" s="51">
        <v>68.260000000000005</v>
      </c>
      <c r="G135" s="41">
        <f t="shared" si="7"/>
        <v>1296.94</v>
      </c>
      <c r="H135" s="41">
        <f t="shared" si="8"/>
        <v>1588.3624179999999</v>
      </c>
    </row>
    <row r="136" spans="1:8">
      <c r="A136" s="37" t="s">
        <v>327</v>
      </c>
      <c r="B136" s="75" t="s">
        <v>328</v>
      </c>
      <c r="C136" s="50" t="s">
        <v>329</v>
      </c>
      <c r="D136" s="40" t="s">
        <v>25</v>
      </c>
      <c r="E136" s="40">
        <v>17</v>
      </c>
      <c r="F136" s="53">
        <v>55.01</v>
      </c>
      <c r="G136" s="41">
        <f t="shared" si="7"/>
        <v>935.17</v>
      </c>
      <c r="H136" s="41">
        <f t="shared" si="8"/>
        <v>1145.3026989999998</v>
      </c>
    </row>
    <row r="137" spans="1:8">
      <c r="A137" s="37" t="s">
        <v>330</v>
      </c>
      <c r="B137" s="38" t="s">
        <v>34</v>
      </c>
      <c r="C137" s="50" t="s">
        <v>331</v>
      </c>
      <c r="D137" s="40" t="s">
        <v>25</v>
      </c>
      <c r="E137" s="40">
        <v>15</v>
      </c>
      <c r="F137" s="53">
        <v>120.9</v>
      </c>
      <c r="G137" s="41">
        <f t="shared" si="7"/>
        <v>1813.5</v>
      </c>
      <c r="H137" s="41">
        <f t="shared" si="8"/>
        <v>2220.9934499999999</v>
      </c>
    </row>
    <row r="138" spans="1:8" ht="15.6">
      <c r="A138" s="35" t="s">
        <v>332</v>
      </c>
      <c r="B138" s="42" t="s">
        <v>333</v>
      </c>
      <c r="C138" s="42"/>
      <c r="D138" s="42"/>
      <c r="E138" s="43"/>
      <c r="F138" s="44"/>
      <c r="G138" s="36">
        <f>SUM(G139,G144)</f>
        <v>18747.900000000001</v>
      </c>
      <c r="H138" s="36">
        <f>G138*(1+H21)</f>
        <v>22960.55313</v>
      </c>
    </row>
    <row r="139" spans="1:8" ht="15.6">
      <c r="A139" s="45" t="s">
        <v>334</v>
      </c>
      <c r="B139" s="55" t="s">
        <v>335</v>
      </c>
      <c r="C139" s="55"/>
      <c r="D139" s="55"/>
      <c r="E139" s="47"/>
      <c r="F139" s="48"/>
      <c r="G139" s="49">
        <f>SUM(G140:G143)</f>
        <v>11645.5</v>
      </c>
      <c r="H139" s="49">
        <f t="shared" ref="H139:H159" si="9">G139*(1+$H$21)</f>
        <v>14262.243849999999</v>
      </c>
    </row>
    <row r="140" spans="1:8">
      <c r="A140" s="37" t="s">
        <v>336</v>
      </c>
      <c r="B140" s="38" t="s">
        <v>337</v>
      </c>
      <c r="C140" s="71" t="s">
        <v>338</v>
      </c>
      <c r="D140" s="40" t="s">
        <v>25</v>
      </c>
      <c r="E140" s="40">
        <v>14</v>
      </c>
      <c r="F140" s="54">
        <v>17.05</v>
      </c>
      <c r="G140" s="41">
        <f>E140*F140</f>
        <v>238.70000000000002</v>
      </c>
      <c r="H140" s="41">
        <f t="shared" si="9"/>
        <v>292.33589000000001</v>
      </c>
    </row>
    <row r="141" spans="1:8" ht="30">
      <c r="A141" s="37" t="s">
        <v>339</v>
      </c>
      <c r="B141" s="38" t="s">
        <v>340</v>
      </c>
      <c r="C141" s="71" t="s">
        <v>341</v>
      </c>
      <c r="D141" s="40" t="s">
        <v>25</v>
      </c>
      <c r="E141" s="40">
        <v>8</v>
      </c>
      <c r="F141" s="54">
        <v>350.98</v>
      </c>
      <c r="G141" s="41">
        <f>E141*F141</f>
        <v>2807.84</v>
      </c>
      <c r="H141" s="41">
        <f t="shared" si="9"/>
        <v>3438.7616479999997</v>
      </c>
    </row>
    <row r="142" spans="1:8" ht="45">
      <c r="A142" s="37" t="s">
        <v>342</v>
      </c>
      <c r="B142" s="38" t="s">
        <v>34</v>
      </c>
      <c r="C142" s="71" t="s">
        <v>343</v>
      </c>
      <c r="D142" s="40" t="s">
        <v>25</v>
      </c>
      <c r="E142" s="40">
        <v>8</v>
      </c>
      <c r="F142" s="53">
        <v>891.27</v>
      </c>
      <c r="G142" s="41">
        <f>E142*F142</f>
        <v>7130.16</v>
      </c>
      <c r="H142" s="41">
        <f t="shared" si="9"/>
        <v>8732.306951999999</v>
      </c>
    </row>
    <row r="143" spans="1:8" ht="60">
      <c r="A143" s="37" t="s">
        <v>344</v>
      </c>
      <c r="B143" s="38" t="s">
        <v>345</v>
      </c>
      <c r="C143" s="71" t="s">
        <v>346</v>
      </c>
      <c r="D143" s="40" t="s">
        <v>25</v>
      </c>
      <c r="E143" s="40">
        <v>8</v>
      </c>
      <c r="F143" s="51">
        <v>183.6</v>
      </c>
      <c r="G143" s="41">
        <f>E143*F143</f>
        <v>1468.8</v>
      </c>
      <c r="H143" s="41">
        <f t="shared" si="9"/>
        <v>1798.8393599999997</v>
      </c>
    </row>
    <row r="144" spans="1:8" ht="15.6">
      <c r="A144" s="45" t="s">
        <v>347</v>
      </c>
      <c r="B144" s="55" t="s">
        <v>348</v>
      </c>
      <c r="C144" s="55"/>
      <c r="D144" s="55"/>
      <c r="E144" s="47"/>
      <c r="F144" s="48"/>
      <c r="G144" s="49">
        <f>SUM(G145:G148)</f>
        <v>7102.4</v>
      </c>
      <c r="H144" s="49">
        <f t="shared" si="9"/>
        <v>8698.3092799999995</v>
      </c>
    </row>
    <row r="145" spans="1:9" ht="30">
      <c r="A145" s="37" t="s">
        <v>349</v>
      </c>
      <c r="B145" s="38" t="s">
        <v>350</v>
      </c>
      <c r="C145" s="76" t="s">
        <v>351</v>
      </c>
      <c r="D145" s="40" t="s">
        <v>25</v>
      </c>
      <c r="E145" s="40">
        <v>9</v>
      </c>
      <c r="F145" s="54">
        <v>57.63</v>
      </c>
      <c r="G145" s="41">
        <f>E145*F145</f>
        <v>518.67000000000007</v>
      </c>
      <c r="H145" s="41">
        <f t="shared" si="9"/>
        <v>635.215149</v>
      </c>
    </row>
    <row r="146" spans="1:9" ht="30">
      <c r="A146" s="37" t="s">
        <v>352</v>
      </c>
      <c r="B146" s="38" t="s">
        <v>353</v>
      </c>
      <c r="C146" s="76" t="s">
        <v>354</v>
      </c>
      <c r="D146" s="40" t="s">
        <v>25</v>
      </c>
      <c r="E146" s="40">
        <v>12</v>
      </c>
      <c r="F146" s="54">
        <v>93.74</v>
      </c>
      <c r="G146" s="41">
        <f>E146*F146</f>
        <v>1124.8799999999999</v>
      </c>
      <c r="H146" s="41">
        <f t="shared" si="9"/>
        <v>1377.6405359999997</v>
      </c>
    </row>
    <row r="147" spans="1:9" ht="30">
      <c r="A147" s="37" t="s">
        <v>355</v>
      </c>
      <c r="B147" s="38" t="s">
        <v>356</v>
      </c>
      <c r="C147" s="76" t="s">
        <v>357</v>
      </c>
      <c r="D147" s="40" t="s">
        <v>25</v>
      </c>
      <c r="E147" s="40">
        <v>11</v>
      </c>
      <c r="F147" s="51">
        <v>126.95</v>
      </c>
      <c r="G147" s="41">
        <f>E147*F147</f>
        <v>1396.45</v>
      </c>
      <c r="H147" s="41">
        <f t="shared" si="9"/>
        <v>1710.232315</v>
      </c>
    </row>
    <row r="148" spans="1:9" ht="30">
      <c r="A148" s="37" t="s">
        <v>358</v>
      </c>
      <c r="B148" s="38" t="s">
        <v>359</v>
      </c>
      <c r="C148" s="76" t="s">
        <v>360</v>
      </c>
      <c r="D148" s="40" t="s">
        <v>25</v>
      </c>
      <c r="E148" s="40">
        <v>32</v>
      </c>
      <c r="F148" s="51">
        <v>126.95</v>
      </c>
      <c r="G148" s="41">
        <f>E148*F148</f>
        <v>4062.4</v>
      </c>
      <c r="H148" s="41">
        <f t="shared" si="9"/>
        <v>4975.2212799999998</v>
      </c>
    </row>
    <row r="149" spans="1:9" ht="15.6">
      <c r="A149" s="35">
        <v>9</v>
      </c>
      <c r="B149" s="42" t="s">
        <v>361</v>
      </c>
      <c r="C149" s="42"/>
      <c r="D149" s="42"/>
      <c r="E149" s="43"/>
      <c r="F149" s="44"/>
      <c r="G149" s="36">
        <f>SUM(G150:G154)</f>
        <v>15570.368000000002</v>
      </c>
      <c r="H149" s="36">
        <f t="shared" si="9"/>
        <v>19069.0296896</v>
      </c>
    </row>
    <row r="150" spans="1:9" ht="30">
      <c r="A150" s="83" t="s">
        <v>362</v>
      </c>
      <c r="B150" s="90" t="s">
        <v>286</v>
      </c>
      <c r="C150" s="91" t="s">
        <v>363</v>
      </c>
      <c r="D150" s="86" t="s">
        <v>43</v>
      </c>
      <c r="E150" s="86">
        <v>757.55</v>
      </c>
      <c r="F150" s="88">
        <v>5.07</v>
      </c>
      <c r="G150" s="88">
        <f>E150*F150</f>
        <v>3840.7784999999999</v>
      </c>
      <c r="H150" s="88">
        <f t="shared" si="9"/>
        <v>4703.8014289499997</v>
      </c>
    </row>
    <row r="151" spans="1:9" ht="30">
      <c r="A151" s="83" t="s">
        <v>364</v>
      </c>
      <c r="B151" s="90" t="s">
        <v>286</v>
      </c>
      <c r="C151" s="91" t="s">
        <v>365</v>
      </c>
      <c r="D151" s="86" t="s">
        <v>43</v>
      </c>
      <c r="E151" s="86">
        <v>152.6</v>
      </c>
      <c r="F151" s="88">
        <v>6.04</v>
      </c>
      <c r="G151" s="88">
        <f>E151*F151</f>
        <v>921.70399999999995</v>
      </c>
      <c r="H151" s="88">
        <f t="shared" si="9"/>
        <v>1128.8108887999999</v>
      </c>
    </row>
    <row r="152" spans="1:9" ht="30">
      <c r="A152" s="83" t="s">
        <v>366</v>
      </c>
      <c r="B152" s="90" t="s">
        <v>286</v>
      </c>
      <c r="C152" s="91" t="s">
        <v>367</v>
      </c>
      <c r="D152" s="86" t="s">
        <v>43</v>
      </c>
      <c r="E152" s="86">
        <v>152.6</v>
      </c>
      <c r="F152" s="88">
        <v>28.92</v>
      </c>
      <c r="G152" s="88">
        <f>E152*F152</f>
        <v>4413.192</v>
      </c>
      <c r="H152" s="88">
        <f t="shared" si="9"/>
        <v>5404.8362423999997</v>
      </c>
    </row>
    <row r="153" spans="1:9">
      <c r="A153" s="37" t="s">
        <v>368</v>
      </c>
      <c r="B153" s="38" t="s">
        <v>369</v>
      </c>
      <c r="C153" s="76" t="s">
        <v>370</v>
      </c>
      <c r="D153" s="40" t="s">
        <v>43</v>
      </c>
      <c r="E153" s="40">
        <v>126.45</v>
      </c>
      <c r="F153" s="41">
        <v>22.03</v>
      </c>
      <c r="G153" s="41">
        <f>E153*F153</f>
        <v>2785.6935000000003</v>
      </c>
      <c r="H153" s="41">
        <f t="shared" si="9"/>
        <v>3411.6388294500002</v>
      </c>
    </row>
    <row r="154" spans="1:9">
      <c r="A154" s="37" t="s">
        <v>371</v>
      </c>
      <c r="B154" s="52" t="s">
        <v>372</v>
      </c>
      <c r="C154" s="71" t="s">
        <v>373</v>
      </c>
      <c r="D154" s="64" t="s">
        <v>43</v>
      </c>
      <c r="E154" s="64">
        <v>900</v>
      </c>
      <c r="F154" s="54">
        <v>4.01</v>
      </c>
      <c r="G154" s="54">
        <f>E154*F154</f>
        <v>3609</v>
      </c>
      <c r="H154" s="41">
        <f t="shared" si="9"/>
        <v>4419.9422999999997</v>
      </c>
    </row>
    <row r="155" spans="1:9" ht="15.6">
      <c r="A155" s="35">
        <v>10</v>
      </c>
      <c r="B155" s="42" t="s">
        <v>374</v>
      </c>
      <c r="C155" s="42"/>
      <c r="D155" s="42"/>
      <c r="E155" s="43"/>
      <c r="F155" s="44"/>
      <c r="G155" s="36">
        <f>SUM(G156:G157)</f>
        <v>4244.7134999999998</v>
      </c>
      <c r="H155" s="36">
        <f t="shared" si="9"/>
        <v>5198.5006234499997</v>
      </c>
    </row>
    <row r="156" spans="1:9">
      <c r="A156" s="37" t="s">
        <v>375</v>
      </c>
      <c r="B156" s="38" t="s">
        <v>376</v>
      </c>
      <c r="C156" s="71" t="s">
        <v>377</v>
      </c>
      <c r="D156" s="40" t="s">
        <v>43</v>
      </c>
      <c r="E156" s="40">
        <v>1401.99</v>
      </c>
      <c r="F156" s="51">
        <v>2.65</v>
      </c>
      <c r="G156" s="41">
        <f>SUM(E156*F156)</f>
        <v>3715.2734999999998</v>
      </c>
      <c r="H156" s="41">
        <f t="shared" si="9"/>
        <v>4550.0954554499995</v>
      </c>
    </row>
    <row r="157" spans="1:9">
      <c r="A157" s="37" t="s">
        <v>378</v>
      </c>
      <c r="B157" s="38" t="s">
        <v>379</v>
      </c>
      <c r="C157" s="76" t="s">
        <v>380</v>
      </c>
      <c r="D157" s="40" t="s">
        <v>61</v>
      </c>
      <c r="E157" s="40">
        <v>24</v>
      </c>
      <c r="F157" s="51">
        <v>22.06</v>
      </c>
      <c r="G157" s="41">
        <f>SUM(E157*F157)</f>
        <v>529.43999999999994</v>
      </c>
      <c r="H157" s="41">
        <f t="shared" si="9"/>
        <v>648.40516799999989</v>
      </c>
    </row>
    <row r="158" spans="1:9" ht="15.6">
      <c r="A158" s="35">
        <v>11</v>
      </c>
      <c r="B158" s="42" t="s">
        <v>381</v>
      </c>
      <c r="C158" s="42"/>
      <c r="D158" s="42"/>
      <c r="E158" s="43"/>
      <c r="F158" s="44"/>
      <c r="G158" s="36">
        <f>SUM(G159:G159)</f>
        <v>8521.2759999999998</v>
      </c>
      <c r="H158" s="36">
        <f t="shared" si="9"/>
        <v>10436.006717199998</v>
      </c>
    </row>
    <row r="159" spans="1:9" ht="30">
      <c r="A159" s="92" t="s">
        <v>382</v>
      </c>
      <c r="B159" s="84" t="s">
        <v>286</v>
      </c>
      <c r="C159" s="93" t="s">
        <v>383</v>
      </c>
      <c r="D159" s="94" t="s">
        <v>384</v>
      </c>
      <c r="E159" s="94">
        <f>115*2+173*2+246*2+2*241.4+170.2*2+214*2+247*2+277*2+2*227</f>
        <v>3821.2</v>
      </c>
      <c r="F159" s="87">
        <v>2.23</v>
      </c>
      <c r="G159" s="95">
        <f>SUM(E159*F159)</f>
        <v>8521.2759999999998</v>
      </c>
      <c r="H159" s="95">
        <f t="shared" si="9"/>
        <v>10436.006717199998</v>
      </c>
    </row>
    <row r="160" spans="1:9" ht="15.6">
      <c r="A160" s="77"/>
      <c r="B160" s="78"/>
      <c r="C160" s="79"/>
      <c r="D160" s="3" t="s">
        <v>385</v>
      </c>
      <c r="E160" s="3"/>
      <c r="F160" s="3"/>
      <c r="G160" s="3"/>
      <c r="H160" s="80">
        <f>SUM(G158,G155,G149,G138,G110,G106,G78,G64,G54,G26,G24)</f>
        <v>364599.40909999999</v>
      </c>
      <c r="I160" s="81"/>
    </row>
    <row r="161" spans="1:8" ht="15.6">
      <c r="A161" s="2" t="s">
        <v>30</v>
      </c>
      <c r="B161" s="2"/>
      <c r="C161" s="2"/>
      <c r="D161" s="2"/>
      <c r="E161" s="2"/>
      <c r="F161" s="2"/>
      <c r="G161" s="2"/>
      <c r="H161" s="34">
        <f>SUM(H158,H155,H149,H138,H110,H106,H78,H64,H54,H26,H24)</f>
        <v>446524.89632477</v>
      </c>
    </row>
    <row r="162" spans="1:8" ht="15.6">
      <c r="A162" s="82"/>
      <c r="B162" s="1"/>
      <c r="C162" s="1"/>
      <c r="D162" s="1"/>
      <c r="E162" s="1"/>
      <c r="F162" s="1"/>
      <c r="G162" s="1"/>
      <c r="H162" s="1"/>
    </row>
  </sheetData>
  <mergeCells count="25">
    <mergeCell ref="B24:F24"/>
    <mergeCell ref="B111:F111"/>
    <mergeCell ref="D160:G160"/>
    <mergeCell ref="A161:G161"/>
    <mergeCell ref="B162:H162"/>
    <mergeCell ref="B17:C17"/>
    <mergeCell ref="B18:C18"/>
    <mergeCell ref="B19:C19"/>
    <mergeCell ref="B20:C20"/>
    <mergeCell ref="A21:G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1:H1"/>
    <mergeCell ref="B2:C2"/>
    <mergeCell ref="B3:C3"/>
    <mergeCell ref="B4:C4"/>
    <mergeCell ref="B6:C6"/>
  </mergeCells>
  <hyperlinks>
    <hyperlink ref="B132" r:id="rId1"/>
    <hyperlink ref="B134" r:id="rId2"/>
    <hyperlink ref="B136" r:id="rId3"/>
  </hyperlinks>
  <printOptions horizontalCentered="1"/>
  <pageMargins left="0.78749999999999998" right="0.78749999999999998" top="1.53541666666667" bottom="0.66874999999999996" header="0.23611111111111099" footer="0.196527777777778"/>
  <pageSetup paperSize="9" scale="43" fitToHeight="0" orientation="portrait" horizontalDpi="300" verticalDpi="300" r:id="rId4"/>
  <headerFooter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7" max="16383" man="1"/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16" workbookViewId="0">
      <selection activeCell="D8" sqref="D8"/>
    </sheetView>
  </sheetViews>
  <sheetFormatPr defaultRowHeight="13.8"/>
  <cols>
    <col min="1" max="1" width="27.09765625" bestFit="1" customWidth="1"/>
    <col min="2" max="2" width="8.796875" customWidth="1"/>
    <col min="4" max="4" width="93.59765625" customWidth="1"/>
    <col min="6" max="6" width="13" customWidth="1"/>
    <col min="8" max="8" width="17.09765625" customWidth="1"/>
  </cols>
  <sheetData>
    <row r="1" spans="1:10">
      <c r="A1" s="96"/>
      <c r="B1" s="96"/>
      <c r="C1" s="97"/>
      <c r="D1" s="97"/>
      <c r="E1" s="97"/>
      <c r="F1" s="97"/>
      <c r="G1" s="97"/>
      <c r="H1" s="97"/>
      <c r="I1" s="97"/>
      <c r="J1" s="97"/>
    </row>
    <row r="2" spans="1:10">
      <c r="A2" s="98"/>
      <c r="B2" s="98"/>
      <c r="C2" s="99"/>
      <c r="D2" s="99"/>
      <c r="E2" s="99"/>
      <c r="F2" s="99"/>
      <c r="G2" s="99"/>
      <c r="H2" s="99"/>
      <c r="I2" s="99"/>
      <c r="J2" s="99"/>
    </row>
    <row r="3" spans="1:10">
      <c r="A3" s="100" t="s">
        <v>386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>
      <c r="A4" s="101"/>
      <c r="B4" s="101"/>
      <c r="C4" s="101"/>
      <c r="D4" s="101"/>
      <c r="E4" s="101"/>
      <c r="F4" s="102"/>
      <c r="G4" s="101"/>
      <c r="H4" s="102"/>
      <c r="I4" s="101"/>
      <c r="J4" s="102"/>
    </row>
    <row r="5" spans="1:10" ht="14.4" thickBot="1">
      <c r="A5" s="103"/>
      <c r="B5" s="103"/>
      <c r="C5" s="103"/>
      <c r="D5" s="103"/>
      <c r="E5" s="103"/>
      <c r="F5" s="103"/>
      <c r="G5" s="103"/>
      <c r="H5" s="104"/>
      <c r="I5" s="103"/>
      <c r="J5" s="105"/>
    </row>
    <row r="6" spans="1:10" ht="14.4" thickTop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27.6">
      <c r="A7" s="107" t="s">
        <v>387</v>
      </c>
      <c r="B7" s="108" t="s">
        <v>388</v>
      </c>
      <c r="C7" s="107" t="s">
        <v>389</v>
      </c>
      <c r="D7" s="107" t="s">
        <v>390</v>
      </c>
      <c r="E7" s="109" t="s">
        <v>391</v>
      </c>
      <c r="F7" s="109"/>
      <c r="G7" s="110" t="s">
        <v>392</v>
      </c>
      <c r="H7" s="108" t="s">
        <v>393</v>
      </c>
      <c r="I7" s="108" t="s">
        <v>394</v>
      </c>
      <c r="J7" s="108" t="s">
        <v>395</v>
      </c>
    </row>
    <row r="8" spans="1:10" ht="46.8" customHeight="1">
      <c r="A8" s="111" t="s">
        <v>45</v>
      </c>
      <c r="B8" s="112"/>
      <c r="C8" s="113"/>
      <c r="D8" s="114" t="s">
        <v>46</v>
      </c>
      <c r="E8" s="115" t="s">
        <v>396</v>
      </c>
      <c r="F8" s="115"/>
      <c r="G8" s="116" t="s">
        <v>397</v>
      </c>
      <c r="H8" s="117">
        <v>1</v>
      </c>
      <c r="I8" s="118">
        <f>J9</f>
        <v>3.9495039999999997</v>
      </c>
      <c r="J8" s="118">
        <f>I8*H8</f>
        <v>3.9495039999999997</v>
      </c>
    </row>
    <row r="9" spans="1:10" ht="29.4" customHeight="1">
      <c r="A9" s="119" t="s">
        <v>398</v>
      </c>
      <c r="B9" s="120" t="s">
        <v>399</v>
      </c>
      <c r="C9" s="119" t="s">
        <v>400</v>
      </c>
      <c r="D9" s="119" t="s">
        <v>401</v>
      </c>
      <c r="E9" s="121" t="s">
        <v>402</v>
      </c>
      <c r="F9" s="121"/>
      <c r="G9" s="122" t="s">
        <v>403</v>
      </c>
      <c r="H9" s="123">
        <v>0.2626</v>
      </c>
      <c r="I9" s="124">
        <v>15.04</v>
      </c>
      <c r="J9" s="124">
        <f>H9*I9</f>
        <v>3.9495039999999997</v>
      </c>
    </row>
    <row r="11" spans="1:10" ht="27.6">
      <c r="A11" s="107" t="s">
        <v>404</v>
      </c>
      <c r="B11" s="108" t="s">
        <v>388</v>
      </c>
      <c r="C11" s="107" t="s">
        <v>389</v>
      </c>
      <c r="D11" s="107" t="s">
        <v>390</v>
      </c>
      <c r="E11" s="109" t="s">
        <v>391</v>
      </c>
      <c r="F11" s="109"/>
      <c r="G11" s="110" t="s">
        <v>392</v>
      </c>
      <c r="H11" s="108" t="s">
        <v>393</v>
      </c>
      <c r="I11" s="108" t="s">
        <v>394</v>
      </c>
      <c r="J11" s="108" t="s">
        <v>395</v>
      </c>
    </row>
    <row r="12" spans="1:10" ht="29.4" customHeight="1">
      <c r="A12" s="111" t="s">
        <v>45</v>
      </c>
      <c r="B12" s="112"/>
      <c r="C12" s="113"/>
      <c r="D12" s="114" t="s">
        <v>48</v>
      </c>
      <c r="E12" s="115" t="s">
        <v>396</v>
      </c>
      <c r="F12" s="115"/>
      <c r="G12" s="116" t="s">
        <v>397</v>
      </c>
      <c r="H12" s="117">
        <v>1</v>
      </c>
      <c r="I12" s="118">
        <v>5.2</v>
      </c>
      <c r="J12" s="118">
        <f>I12*H12</f>
        <v>5.2</v>
      </c>
    </row>
    <row r="13" spans="1:10" ht="34.200000000000003" customHeight="1">
      <c r="A13" s="119" t="s">
        <v>398</v>
      </c>
      <c r="B13" s="120" t="s">
        <v>399</v>
      </c>
      <c r="C13" s="119" t="s">
        <v>400</v>
      </c>
      <c r="D13" s="119" t="s">
        <v>401</v>
      </c>
      <c r="E13" s="121" t="s">
        <v>402</v>
      </c>
      <c r="F13" s="121"/>
      <c r="G13" s="122" t="s">
        <v>403</v>
      </c>
      <c r="H13" s="123">
        <v>0.34570000000000001</v>
      </c>
      <c r="I13" s="124">
        <v>15.04</v>
      </c>
      <c r="J13" s="124">
        <f>H13*I13</f>
        <v>5.1993279999999995</v>
      </c>
    </row>
    <row r="15" spans="1:10" ht="27.6">
      <c r="A15" s="107" t="s">
        <v>405</v>
      </c>
      <c r="B15" s="108" t="s">
        <v>388</v>
      </c>
      <c r="C15" s="107" t="s">
        <v>389</v>
      </c>
      <c r="D15" s="107" t="s">
        <v>390</v>
      </c>
      <c r="E15" s="109" t="s">
        <v>391</v>
      </c>
      <c r="F15" s="109"/>
      <c r="G15" s="110" t="s">
        <v>392</v>
      </c>
      <c r="H15" s="108" t="s">
        <v>393</v>
      </c>
      <c r="I15" s="108" t="s">
        <v>394</v>
      </c>
      <c r="J15" s="108" t="s">
        <v>395</v>
      </c>
    </row>
    <row r="16" spans="1:10" ht="27" customHeight="1">
      <c r="A16" s="111" t="s">
        <v>45</v>
      </c>
      <c r="B16" s="112"/>
      <c r="C16" s="113"/>
      <c r="D16" s="114" t="s">
        <v>63</v>
      </c>
      <c r="E16" s="115" t="s">
        <v>396</v>
      </c>
      <c r="F16" s="115"/>
      <c r="G16" s="116" t="s">
        <v>397</v>
      </c>
      <c r="H16" s="117">
        <v>1</v>
      </c>
      <c r="I16" s="118">
        <v>11.2</v>
      </c>
      <c r="J16" s="118">
        <f>I16*H16</f>
        <v>11.2</v>
      </c>
    </row>
    <row r="17" spans="1:10" ht="29.4" customHeight="1">
      <c r="A17" s="119" t="s">
        <v>398</v>
      </c>
      <c r="B17" s="120" t="s">
        <v>399</v>
      </c>
      <c r="C17" s="119" t="s">
        <v>400</v>
      </c>
      <c r="D17" s="119" t="s">
        <v>401</v>
      </c>
      <c r="E17" s="121" t="s">
        <v>402</v>
      </c>
      <c r="F17" s="121"/>
      <c r="G17" s="122" t="s">
        <v>403</v>
      </c>
      <c r="H17" s="123">
        <v>0.74460000000000004</v>
      </c>
      <c r="I17" s="124">
        <v>15.04</v>
      </c>
      <c r="J17" s="124">
        <f>H17*I17</f>
        <v>11.198784</v>
      </c>
    </row>
    <row r="20" spans="1:10" ht="27.6">
      <c r="A20" s="107" t="s">
        <v>406</v>
      </c>
      <c r="B20" s="108" t="s">
        <v>388</v>
      </c>
      <c r="C20" s="107" t="s">
        <v>389</v>
      </c>
      <c r="D20" s="107" t="s">
        <v>390</v>
      </c>
      <c r="E20" s="109" t="s">
        <v>391</v>
      </c>
      <c r="F20" s="109"/>
      <c r="G20" s="110" t="s">
        <v>392</v>
      </c>
      <c r="H20" s="108" t="s">
        <v>393</v>
      </c>
      <c r="I20" s="108" t="s">
        <v>394</v>
      </c>
      <c r="J20" s="108" t="s">
        <v>395</v>
      </c>
    </row>
    <row r="21" spans="1:10" ht="30.6" customHeight="1">
      <c r="A21" s="125" t="s">
        <v>45</v>
      </c>
      <c r="B21" s="126"/>
      <c r="C21" s="127"/>
      <c r="D21" s="125" t="s">
        <v>110</v>
      </c>
      <c r="E21" s="128" t="s">
        <v>407</v>
      </c>
      <c r="F21" s="128"/>
      <c r="G21" s="129" t="s">
        <v>397</v>
      </c>
      <c r="H21" s="130">
        <v>1</v>
      </c>
      <c r="I21" s="131">
        <f>J22</f>
        <v>9.7489279999999994</v>
      </c>
      <c r="J21" s="131">
        <f>I21*H21</f>
        <v>9.7489279999999994</v>
      </c>
    </row>
    <row r="22" spans="1:10" ht="27" customHeight="1">
      <c r="A22" s="119" t="s">
        <v>398</v>
      </c>
      <c r="B22" s="120" t="s">
        <v>399</v>
      </c>
      <c r="C22" s="119" t="s">
        <v>400</v>
      </c>
      <c r="D22" s="119" t="s">
        <v>401</v>
      </c>
      <c r="E22" s="121" t="s">
        <v>402</v>
      </c>
      <c r="F22" s="121"/>
      <c r="G22" s="122" t="s">
        <v>403</v>
      </c>
      <c r="H22" s="123">
        <v>0.6482</v>
      </c>
      <c r="I22" s="124">
        <v>15.04</v>
      </c>
      <c r="J22" s="124">
        <f>H22*I22</f>
        <v>9.7489279999999994</v>
      </c>
    </row>
    <row r="24" spans="1:10" ht="27.6">
      <c r="A24" s="132" t="s">
        <v>408</v>
      </c>
      <c r="B24" s="133" t="s">
        <v>388</v>
      </c>
      <c r="C24" s="132" t="s">
        <v>389</v>
      </c>
      <c r="D24" s="132" t="s">
        <v>390</v>
      </c>
      <c r="E24" s="134" t="s">
        <v>391</v>
      </c>
      <c r="F24" s="134"/>
      <c r="G24" s="135" t="s">
        <v>392</v>
      </c>
      <c r="H24" s="133" t="s">
        <v>393</v>
      </c>
      <c r="I24" s="133" t="s">
        <v>394</v>
      </c>
      <c r="J24" s="133" t="s">
        <v>395</v>
      </c>
    </row>
    <row r="25" spans="1:10" ht="40.799999999999997" customHeight="1">
      <c r="A25" s="136" t="s">
        <v>45</v>
      </c>
      <c r="B25" s="137"/>
      <c r="C25" s="138"/>
      <c r="D25" s="136" t="s">
        <v>287</v>
      </c>
      <c r="E25" s="139" t="s">
        <v>409</v>
      </c>
      <c r="F25" s="139"/>
      <c r="G25" s="140" t="s">
        <v>397</v>
      </c>
      <c r="H25" s="141">
        <v>1</v>
      </c>
      <c r="I25" s="142">
        <f>SUM(J26:J28)</f>
        <v>5.1553599999999999</v>
      </c>
      <c r="J25" s="142">
        <f>I25*H25</f>
        <v>5.1553599999999999</v>
      </c>
    </row>
    <row r="26" spans="1:10" ht="20.399999999999999" customHeight="1">
      <c r="A26" s="143" t="s">
        <v>410</v>
      </c>
      <c r="B26" s="144" t="s">
        <v>411</v>
      </c>
      <c r="C26" s="143" t="s">
        <v>412</v>
      </c>
      <c r="D26" s="143" t="s">
        <v>413</v>
      </c>
      <c r="E26" s="145" t="s">
        <v>414</v>
      </c>
      <c r="F26" s="145"/>
      <c r="G26" s="146" t="s">
        <v>415</v>
      </c>
      <c r="H26" s="147">
        <v>1</v>
      </c>
      <c r="I26" s="148">
        <v>2.15</v>
      </c>
      <c r="J26" s="148">
        <v>2.15</v>
      </c>
    </row>
    <row r="27" spans="1:10" ht="19.8" customHeight="1">
      <c r="A27" s="143" t="s">
        <v>410</v>
      </c>
      <c r="B27" s="144" t="s">
        <v>416</v>
      </c>
      <c r="C27" s="143" t="s">
        <v>400</v>
      </c>
      <c r="D27" s="143" t="s">
        <v>417</v>
      </c>
      <c r="E27" s="145" t="s">
        <v>418</v>
      </c>
      <c r="F27" s="145"/>
      <c r="G27" s="146" t="s">
        <v>403</v>
      </c>
      <c r="H27" s="147">
        <v>7.6999999999999999E-2</v>
      </c>
      <c r="I27" s="148">
        <v>16.18</v>
      </c>
      <c r="J27" s="149">
        <f>H27*I27</f>
        <v>1.24586</v>
      </c>
    </row>
    <row r="28" spans="1:10" ht="16.8" customHeight="1">
      <c r="A28" s="143" t="s">
        <v>410</v>
      </c>
      <c r="B28" s="144" t="s">
        <v>419</v>
      </c>
      <c r="C28" s="143" t="s">
        <v>400</v>
      </c>
      <c r="D28" s="143" t="s">
        <v>420</v>
      </c>
      <c r="E28" s="145" t="s">
        <v>418</v>
      </c>
      <c r="F28" s="145"/>
      <c r="G28" s="146" t="s">
        <v>403</v>
      </c>
      <c r="H28" s="147">
        <v>0.15</v>
      </c>
      <c r="I28" s="148">
        <v>11.73</v>
      </c>
      <c r="J28" s="149">
        <f>H28*I28</f>
        <v>1.7595000000000001</v>
      </c>
    </row>
    <row r="29" spans="1:10">
      <c r="A29" s="150"/>
      <c r="B29" s="151"/>
      <c r="C29" s="150"/>
      <c r="D29" s="150"/>
      <c r="E29" s="150"/>
      <c r="F29" s="150"/>
      <c r="G29" s="152"/>
      <c r="H29" s="153"/>
      <c r="I29" s="154"/>
      <c r="J29" s="155"/>
    </row>
    <row r="30" spans="1:10" ht="27.6">
      <c r="A30" s="156" t="s">
        <v>421</v>
      </c>
      <c r="B30" s="157" t="s">
        <v>388</v>
      </c>
      <c r="C30" s="156" t="s">
        <v>389</v>
      </c>
      <c r="D30" s="156" t="s">
        <v>390</v>
      </c>
      <c r="E30" s="158" t="s">
        <v>391</v>
      </c>
      <c r="F30" s="158"/>
      <c r="G30" s="159" t="s">
        <v>392</v>
      </c>
      <c r="H30" s="157" t="s">
        <v>393</v>
      </c>
      <c r="I30" s="157" t="s">
        <v>394</v>
      </c>
      <c r="J30" s="157" t="s">
        <v>395</v>
      </c>
    </row>
    <row r="31" spans="1:10" ht="23.4" customHeight="1">
      <c r="A31" s="160" t="s">
        <v>45</v>
      </c>
      <c r="B31" s="161" t="s">
        <v>422</v>
      </c>
      <c r="C31" s="162" t="s">
        <v>400</v>
      </c>
      <c r="D31" s="163" t="s">
        <v>423</v>
      </c>
      <c r="E31" s="164" t="s">
        <v>409</v>
      </c>
      <c r="F31" s="164"/>
      <c r="G31" s="165" t="s">
        <v>397</v>
      </c>
      <c r="H31" s="166">
        <v>1</v>
      </c>
      <c r="I31" s="167">
        <f>J32+J33</f>
        <v>5.0708280000000006</v>
      </c>
      <c r="J31" s="167">
        <f>I31*H31</f>
        <v>5.0708280000000006</v>
      </c>
    </row>
    <row r="32" spans="1:10">
      <c r="A32" s="119" t="s">
        <v>398</v>
      </c>
      <c r="B32" s="120">
        <v>88323</v>
      </c>
      <c r="C32" s="119" t="s">
        <v>400</v>
      </c>
      <c r="D32" s="119" t="s">
        <v>424</v>
      </c>
      <c r="E32" s="121" t="s">
        <v>402</v>
      </c>
      <c r="F32" s="121"/>
      <c r="G32" s="122" t="s">
        <v>403</v>
      </c>
      <c r="H32" s="168">
        <v>7.7499999999999999E-2</v>
      </c>
      <c r="I32" s="124">
        <v>22.6</v>
      </c>
      <c r="J32" s="124">
        <f>H32*I32</f>
        <v>1.7515000000000001</v>
      </c>
    </row>
    <row r="33" spans="1:10">
      <c r="A33" s="119" t="s">
        <v>398</v>
      </c>
      <c r="B33" s="120" t="s">
        <v>399</v>
      </c>
      <c r="C33" s="119" t="s">
        <v>400</v>
      </c>
      <c r="D33" s="119" t="s">
        <v>401</v>
      </c>
      <c r="E33" s="121" t="s">
        <v>402</v>
      </c>
      <c r="F33" s="121"/>
      <c r="G33" s="122" t="s">
        <v>403</v>
      </c>
      <c r="H33" s="123">
        <v>0.22070000000000001</v>
      </c>
      <c r="I33" s="124">
        <v>15.04</v>
      </c>
      <c r="J33" s="124">
        <f>H33*I33</f>
        <v>3.3193280000000001</v>
      </c>
    </row>
    <row r="34" spans="1:10">
      <c r="A34" s="169"/>
      <c r="B34" s="169"/>
      <c r="C34" s="169"/>
      <c r="D34" s="169"/>
      <c r="E34" s="169"/>
      <c r="F34" s="169"/>
      <c r="G34" s="169"/>
      <c r="H34" s="169"/>
      <c r="I34" s="169"/>
      <c r="J34" s="169"/>
    </row>
    <row r="35" spans="1:10" ht="27.6">
      <c r="A35" s="170" t="s">
        <v>425</v>
      </c>
      <c r="B35" s="171" t="s">
        <v>388</v>
      </c>
      <c r="C35" s="170" t="s">
        <v>389</v>
      </c>
      <c r="D35" s="170" t="s">
        <v>390</v>
      </c>
      <c r="E35" s="172" t="s">
        <v>391</v>
      </c>
      <c r="F35" s="172"/>
      <c r="G35" s="173" t="s">
        <v>392</v>
      </c>
      <c r="H35" s="171" t="s">
        <v>393</v>
      </c>
      <c r="I35" s="171" t="s">
        <v>394</v>
      </c>
      <c r="J35" s="171" t="s">
        <v>395</v>
      </c>
    </row>
    <row r="36" spans="1:10" ht="27" customHeight="1">
      <c r="A36" s="174" t="s">
        <v>45</v>
      </c>
      <c r="B36" s="175"/>
      <c r="C36" s="175"/>
      <c r="D36" s="174" t="s">
        <v>365</v>
      </c>
      <c r="E36" s="176" t="s">
        <v>409</v>
      </c>
      <c r="F36" s="176"/>
      <c r="G36" s="175" t="s">
        <v>397</v>
      </c>
      <c r="H36" s="177">
        <v>1</v>
      </c>
      <c r="I36" s="178">
        <f>J37+J38</f>
        <v>6.0399880000000001</v>
      </c>
      <c r="J36" s="178">
        <f>I36*H36</f>
        <v>6.0399880000000001</v>
      </c>
    </row>
    <row r="37" spans="1:10" ht="27" customHeight="1">
      <c r="A37" s="179" t="s">
        <v>398</v>
      </c>
      <c r="B37" s="179" t="s">
        <v>426</v>
      </c>
      <c r="C37" s="179" t="s">
        <v>400</v>
      </c>
      <c r="D37" s="179" t="s">
        <v>424</v>
      </c>
      <c r="E37" s="180" t="s">
        <v>402</v>
      </c>
      <c r="F37" s="180"/>
      <c r="G37" s="179" t="s">
        <v>403</v>
      </c>
      <c r="H37" s="181">
        <v>9.2100000000000001E-2</v>
      </c>
      <c r="I37" s="182">
        <v>22.6</v>
      </c>
      <c r="J37" s="182">
        <f>H37*I37</f>
        <v>2.0814600000000003</v>
      </c>
    </row>
    <row r="38" spans="1:10" ht="30.6" customHeight="1">
      <c r="A38" s="179" t="s">
        <v>398</v>
      </c>
      <c r="B38" s="179" t="s">
        <v>399</v>
      </c>
      <c r="C38" s="179" t="s">
        <v>400</v>
      </c>
      <c r="D38" s="179" t="s">
        <v>401</v>
      </c>
      <c r="E38" s="180" t="s">
        <v>402</v>
      </c>
      <c r="F38" s="180"/>
      <c r="G38" s="179" t="s">
        <v>403</v>
      </c>
      <c r="H38" s="183">
        <v>0.26319999999999999</v>
      </c>
      <c r="I38" s="182">
        <v>15.04</v>
      </c>
      <c r="J38" s="182">
        <f>H38*I38</f>
        <v>3.9585279999999998</v>
      </c>
    </row>
    <row r="40" spans="1:10" ht="27.6">
      <c r="A40" s="184" t="s">
        <v>427</v>
      </c>
      <c r="B40" s="185" t="s">
        <v>388</v>
      </c>
      <c r="C40" s="184" t="s">
        <v>389</v>
      </c>
      <c r="D40" s="184" t="s">
        <v>390</v>
      </c>
      <c r="E40" s="186" t="s">
        <v>391</v>
      </c>
      <c r="F40" s="186"/>
      <c r="G40" s="187" t="s">
        <v>392</v>
      </c>
      <c r="H40" s="185" t="s">
        <v>393</v>
      </c>
      <c r="I40" s="185" t="s">
        <v>394</v>
      </c>
      <c r="J40" s="185" t="s">
        <v>395</v>
      </c>
    </row>
    <row r="41" spans="1:10" ht="42" customHeight="1">
      <c r="A41" s="125" t="s">
        <v>45</v>
      </c>
      <c r="B41" s="126"/>
      <c r="C41" s="127"/>
      <c r="D41" s="125" t="s">
        <v>367</v>
      </c>
      <c r="E41" s="128" t="s">
        <v>409</v>
      </c>
      <c r="F41" s="128"/>
      <c r="G41" s="129" t="s">
        <v>397</v>
      </c>
      <c r="H41" s="130">
        <v>1</v>
      </c>
      <c r="I41" s="131">
        <f>SUM(J42:J46)</f>
        <v>28.916502508000001</v>
      </c>
      <c r="J41" s="131">
        <f>H41*I41</f>
        <v>28.916502508000001</v>
      </c>
    </row>
    <row r="42" spans="1:10" ht="26.4">
      <c r="A42" s="188" t="s">
        <v>398</v>
      </c>
      <c r="B42" s="189" t="s">
        <v>428</v>
      </c>
      <c r="C42" s="188" t="s">
        <v>400</v>
      </c>
      <c r="D42" s="188" t="s">
        <v>429</v>
      </c>
      <c r="E42" s="190" t="s">
        <v>430</v>
      </c>
      <c r="F42" s="190"/>
      <c r="G42" s="191" t="s">
        <v>431</v>
      </c>
      <c r="H42" s="192">
        <v>1.6299999999999999E-2</v>
      </c>
      <c r="I42" s="193">
        <v>17.41</v>
      </c>
      <c r="J42" s="149">
        <f>H42*I42</f>
        <v>0.28378299999999995</v>
      </c>
    </row>
    <row r="43" spans="1:10" ht="45.6" customHeight="1">
      <c r="A43" s="188" t="s">
        <v>398</v>
      </c>
      <c r="B43" s="189" t="s">
        <v>432</v>
      </c>
      <c r="C43" s="188" t="s">
        <v>400</v>
      </c>
      <c r="D43" s="188" t="s">
        <v>433</v>
      </c>
      <c r="E43" s="190" t="s">
        <v>430</v>
      </c>
      <c r="F43" s="190"/>
      <c r="G43" s="191" t="s">
        <v>434</v>
      </c>
      <c r="H43" s="192">
        <v>2.8579299999999998E-2</v>
      </c>
      <c r="I43" s="193">
        <v>16.54</v>
      </c>
      <c r="J43" s="149">
        <f t="shared" ref="J43:J46" si="0">H43*I43</f>
        <v>0.47270162199999993</v>
      </c>
    </row>
    <row r="44" spans="1:10" ht="24.6" customHeight="1">
      <c r="A44" s="188" t="s">
        <v>398</v>
      </c>
      <c r="B44" s="189" t="s">
        <v>426</v>
      </c>
      <c r="C44" s="188" t="s">
        <v>400</v>
      </c>
      <c r="D44" s="188" t="s">
        <v>424</v>
      </c>
      <c r="E44" s="190" t="s">
        <v>402</v>
      </c>
      <c r="F44" s="190"/>
      <c r="G44" s="191" t="s">
        <v>403</v>
      </c>
      <c r="H44" s="192">
        <v>0.10011505</v>
      </c>
      <c r="I44" s="193">
        <v>22.6</v>
      </c>
      <c r="J44" s="149">
        <f t="shared" si="0"/>
        <v>2.26260013</v>
      </c>
    </row>
    <row r="45" spans="1:10" ht="25.2" customHeight="1">
      <c r="A45" s="188" t="s">
        <v>398</v>
      </c>
      <c r="B45" s="189" t="s">
        <v>399</v>
      </c>
      <c r="C45" s="188" t="s">
        <v>400</v>
      </c>
      <c r="D45" s="188" t="s">
        <v>401</v>
      </c>
      <c r="E45" s="190" t="s">
        <v>402</v>
      </c>
      <c r="F45" s="190"/>
      <c r="G45" s="191" t="s">
        <v>403</v>
      </c>
      <c r="H45" s="192">
        <v>0.28301890000000002</v>
      </c>
      <c r="I45" s="193">
        <v>15.04</v>
      </c>
      <c r="J45" s="149">
        <f t="shared" si="0"/>
        <v>4.2566042560000001</v>
      </c>
    </row>
    <row r="46" spans="1:10" ht="33" customHeight="1">
      <c r="A46" s="194" t="s">
        <v>410</v>
      </c>
      <c r="B46" s="195" t="s">
        <v>435</v>
      </c>
      <c r="C46" s="194" t="s">
        <v>400</v>
      </c>
      <c r="D46" s="194" t="s">
        <v>436</v>
      </c>
      <c r="E46" s="196" t="s">
        <v>414</v>
      </c>
      <c r="F46" s="196"/>
      <c r="G46" s="197" t="s">
        <v>437</v>
      </c>
      <c r="H46" s="198">
        <v>1.9763300000000001E-2</v>
      </c>
      <c r="I46" s="199">
        <v>1095</v>
      </c>
      <c r="J46" s="149">
        <f t="shared" si="0"/>
        <v>21.6408135</v>
      </c>
    </row>
    <row r="48" spans="1:10" ht="27.6">
      <c r="A48" s="200" t="s">
        <v>438</v>
      </c>
      <c r="B48" s="201" t="s">
        <v>388</v>
      </c>
      <c r="C48" s="200" t="s">
        <v>389</v>
      </c>
      <c r="D48" s="200" t="s">
        <v>390</v>
      </c>
      <c r="E48" s="202" t="s">
        <v>391</v>
      </c>
      <c r="F48" s="202"/>
      <c r="G48" s="203" t="s">
        <v>392</v>
      </c>
      <c r="H48" s="201" t="s">
        <v>393</v>
      </c>
      <c r="I48" s="201" t="s">
        <v>394</v>
      </c>
      <c r="J48" s="201" t="s">
        <v>395</v>
      </c>
    </row>
    <row r="49" spans="1:10" ht="25.8" customHeight="1">
      <c r="A49" s="136" t="s">
        <v>45</v>
      </c>
      <c r="B49" s="137"/>
      <c r="C49" s="138"/>
      <c r="D49" s="136" t="s">
        <v>383</v>
      </c>
      <c r="E49" s="139" t="s">
        <v>409</v>
      </c>
      <c r="F49" s="139"/>
      <c r="G49" s="140" t="s">
        <v>397</v>
      </c>
      <c r="H49" s="141">
        <v>1</v>
      </c>
      <c r="I49" s="142">
        <f>SUM(J50:J53)</f>
        <v>2.2279740000000001</v>
      </c>
      <c r="J49" s="142">
        <f>I49*H49</f>
        <v>2.2279740000000001</v>
      </c>
    </row>
    <row r="50" spans="1:10" ht="26.4" customHeight="1">
      <c r="A50" s="143" t="s">
        <v>410</v>
      </c>
      <c r="B50" s="144" t="s">
        <v>439</v>
      </c>
      <c r="C50" s="143" t="s">
        <v>412</v>
      </c>
      <c r="D50" s="143" t="s">
        <v>440</v>
      </c>
      <c r="E50" s="145" t="s">
        <v>418</v>
      </c>
      <c r="F50" s="145"/>
      <c r="G50" s="146" t="s">
        <v>441</v>
      </c>
      <c r="H50" s="147">
        <v>7.4000000000000003E-3</v>
      </c>
      <c r="I50" s="148">
        <v>37.56</v>
      </c>
      <c r="J50" s="204">
        <f>H50*I50</f>
        <v>0.27794400000000002</v>
      </c>
    </row>
    <row r="51" spans="1:10" ht="19.8" customHeight="1">
      <c r="A51" s="143" t="s">
        <v>410</v>
      </c>
      <c r="B51" s="144" t="s">
        <v>442</v>
      </c>
      <c r="C51" s="143" t="s">
        <v>400</v>
      </c>
      <c r="D51" s="143" t="s">
        <v>443</v>
      </c>
      <c r="E51" s="145" t="s">
        <v>418</v>
      </c>
      <c r="F51" s="145"/>
      <c r="G51" s="146" t="s">
        <v>403</v>
      </c>
      <c r="H51" s="147">
        <v>1.2E-2</v>
      </c>
      <c r="I51" s="148">
        <v>15.22</v>
      </c>
      <c r="J51" s="204">
        <f>H51*I51</f>
        <v>0.18264000000000002</v>
      </c>
    </row>
    <row r="52" spans="1:10" ht="23.4" customHeight="1">
      <c r="A52" s="143" t="s">
        <v>410</v>
      </c>
      <c r="B52" s="144" t="s">
        <v>444</v>
      </c>
      <c r="C52" s="143" t="s">
        <v>400</v>
      </c>
      <c r="D52" s="143" t="s">
        <v>445</v>
      </c>
      <c r="E52" s="145" t="s">
        <v>418</v>
      </c>
      <c r="F52" s="145"/>
      <c r="G52" s="146" t="s">
        <v>403</v>
      </c>
      <c r="H52" s="147">
        <v>8.9999999999999993E-3</v>
      </c>
      <c r="I52" s="148">
        <v>141.91</v>
      </c>
      <c r="J52" s="204">
        <f>H52*I52</f>
        <v>1.2771899999999998</v>
      </c>
    </row>
    <row r="53" spans="1:10" ht="26.4">
      <c r="A53" s="143" t="s">
        <v>410</v>
      </c>
      <c r="B53" s="144" t="s">
        <v>446</v>
      </c>
      <c r="C53" s="143" t="s">
        <v>400</v>
      </c>
      <c r="D53" s="143" t="s">
        <v>447</v>
      </c>
      <c r="E53" s="145" t="s">
        <v>414</v>
      </c>
      <c r="F53" s="145"/>
      <c r="G53" s="146" t="s">
        <v>448</v>
      </c>
      <c r="H53" s="147">
        <v>7.5999999999999998E-2</v>
      </c>
      <c r="I53" s="148">
        <v>6.45</v>
      </c>
      <c r="J53" s="204">
        <f>H53*I53</f>
        <v>0.49020000000000002</v>
      </c>
    </row>
  </sheetData>
  <mergeCells count="47">
    <mergeCell ref="E51:F51"/>
    <mergeCell ref="E52:F52"/>
    <mergeCell ref="E53:F53"/>
    <mergeCell ref="E44:F44"/>
    <mergeCell ref="E45:F45"/>
    <mergeCell ref="E46:F46"/>
    <mergeCell ref="E48:F48"/>
    <mergeCell ref="E49:F49"/>
    <mergeCell ref="E50:F50"/>
    <mergeCell ref="E37:F37"/>
    <mergeCell ref="E38:F38"/>
    <mergeCell ref="E40:F40"/>
    <mergeCell ref="E41:F41"/>
    <mergeCell ref="E42:F42"/>
    <mergeCell ref="E43:F43"/>
    <mergeCell ref="E30:F30"/>
    <mergeCell ref="E31:F31"/>
    <mergeCell ref="E32:F32"/>
    <mergeCell ref="E33:F33"/>
    <mergeCell ref="E35:F35"/>
    <mergeCell ref="E36:F36"/>
    <mergeCell ref="E22:F22"/>
    <mergeCell ref="E24:F24"/>
    <mergeCell ref="E25:F25"/>
    <mergeCell ref="E26:F26"/>
    <mergeCell ref="E27:F27"/>
    <mergeCell ref="E28:F28"/>
    <mergeCell ref="E13:F13"/>
    <mergeCell ref="E15:F15"/>
    <mergeCell ref="E16:F16"/>
    <mergeCell ref="E17:F17"/>
    <mergeCell ref="E20:F20"/>
    <mergeCell ref="E21:F21"/>
    <mergeCell ref="A3:J3"/>
    <mergeCell ref="E7:F7"/>
    <mergeCell ref="E8:F8"/>
    <mergeCell ref="E9:F9"/>
    <mergeCell ref="E11:F11"/>
    <mergeCell ref="E12:F12"/>
    <mergeCell ref="C1:D1"/>
    <mergeCell ref="E1:F1"/>
    <mergeCell ref="G1:H1"/>
    <mergeCell ref="I1:J1"/>
    <mergeCell ref="C2:D2"/>
    <mergeCell ref="E2:F2"/>
    <mergeCell ref="G2:H2"/>
    <mergeCell ref="I2:J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LOTE_2</vt:lpstr>
      <vt:lpstr>Planilha1</vt:lpstr>
      <vt:lpstr>LOTE_2!Area_de_impressao</vt:lpstr>
      <vt:lpstr>LOTE_2!Excel_BuiltIn__FilterDatabase</vt:lpstr>
      <vt:lpstr>LOTE_2!Excel_BuiltIn_Print_Area</vt:lpstr>
      <vt:lpstr>LOTE_2!Print_Area_0</vt:lpstr>
      <vt:lpstr>LOTE_2!Print_Titles_0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Rafael Pimentel Esser</dc:creator>
  <dc:description/>
  <cp:lastModifiedBy>MARIO</cp:lastModifiedBy>
  <cp:revision>9</cp:revision>
  <cp:lastPrinted>2022-03-25T12:02:37Z</cp:lastPrinted>
  <dcterms:created xsi:type="dcterms:W3CDTF">2016-06-27T12:42:06Z</dcterms:created>
  <dcterms:modified xsi:type="dcterms:W3CDTF">2022-06-24T01:44:28Z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